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6495" tabRatio="883" firstSheet="11" activeTab="15"/>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sheetId="15" r:id="rId15"/>
    <sheet name="07"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4">'06'!$A$1:$U$89</definedName>
    <definedName name="_xlnm.Print_Area" localSheetId="12">'06.1'!$A$1:$S$34</definedName>
    <definedName name="_xlnm.Print_Area" localSheetId="15">'07'!$A$1:$U$89</definedName>
    <definedName name="_xlnm.Print_Area" localSheetId="13">'07.1'!$A$1:$T$33</definedName>
    <definedName name="_xlnm.Print_Area" localSheetId="1">'Mãu BC mien giam 8'!$A$1:$N$36</definedName>
    <definedName name="_xlnm.Print_Titles" localSheetId="14">'06'!$6:$10</definedName>
    <definedName name="_xlnm.Print_Titles" localSheetId="15">'07'!$6:$10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<sst xmlns="http://schemas.openxmlformats.org/spreadsheetml/2006/main" count="1342" uniqueCount="582">
  <si>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</si>
  <si>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</si>
  <si>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</si>
  <si>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</si>
  <si>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</si>
  <si>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</si>
  <si>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</si>
  <si>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</si>
  <si>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</si>
  <si>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</si>
  <si>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</si>
  <si>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</si>
  <si>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</si>
  <si>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</si>
  <si>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</si>
  <si>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</si>
  <si>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</si>
  <si>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</si>
  <si>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</si>
  <si>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</si>
  <si>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</si>
  <si>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</si>
  <si>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</si>
  <si>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</si>
  <si>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</si>
  <si>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</si>
  <si>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</si>
  <si>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</si>
  <si>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</si>
  <si>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</si>
  <si>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</si>
  <si>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</si>
  <si>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</si>
  <si>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</si>
  <si>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</si>
  <si>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</si>
  <si>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</si>
  <si>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</si>
  <si>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</si>
  <si>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</si>
  <si>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</si>
  <si>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</si>
  <si>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</si>
  <si>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</si>
  <si>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</si>
  <si>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</si>
  <si>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</si>
  <si>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</si>
  <si>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</si>
  <si>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</si>
  <si>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</si>
  <si>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</si>
  <si>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</si>
  <si>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</si>
  <si>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</si>
  <si>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</si>
  <si>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</si>
  <si>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</si>
  <si>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</si>
  <si>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</si>
  <si>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</si>
  <si>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</si>
  <si>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</si>
  <si>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</si>
  <si>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</si>
  <si>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</si>
  <si>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</si>
  <si>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</si>
  <si>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</si>
  <si>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</si>
  <si>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</si>
  <si>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</si>
  <si>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</si>
  <si>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</si>
  <si>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</si>
  <si>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</si>
  <si>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</si>
  <si>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</si>
  <si>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</si>
  <si>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</si>
  <si>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</si>
  <si>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</si>
  <si>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</si>
  <si>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</si>
  <si>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</si>
  <si>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</si>
  <si>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</si>
  <si>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</si>
  <si>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</si>
  <si>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</si>
  <si>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</si>
  <si>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</si>
  <si>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</si>
  <si>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</si>
  <si>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</si>
  <si>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</si>
  <si>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</si>
  <si>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</si>
  <si>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</si>
  <si>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</si>
  <si>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</si>
  <si>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</si>
  <si>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</si>
  <si>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</si>
  <si>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</si>
  <si>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</si>
  <si>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</si>
  <si>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</si>
  <si>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</si>
  <si>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</si>
  <si>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</si>
  <si>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</si>
  <si>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</si>
  <si>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</si>
  <si>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</si>
  <si>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</si>
  <si>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</si>
  <si>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</si>
  <si>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</si>
  <si>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</si>
  <si>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</si>
  <si>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</si>
  <si>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</si>
  <si>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</si>
  <si>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</si>
  <si>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</si>
  <si>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</si>
  <si>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</si>
  <si>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</si>
  <si>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</si>
  <si>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</si>
  <si>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</si>
  <si>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</si>
  <si>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</si>
  <si>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</si>
  <si>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</si>
  <si>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</si>
  <si>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</si>
  <si>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</si>
  <si>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</si>
  <si>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</si>
  <si>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</si>
  <si>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</si>
  <si>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</si>
  <si>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</si>
  <si>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</si>
  <si>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</si>
  <si>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</si>
  <si>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</si>
  <si>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</si>
  <si>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</si>
  <si>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</si>
  <si>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</si>
  <si>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</si>
  <si>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</si>
  <si>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</si>
  <si>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</si>
  <si>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</si>
  <si>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</si>
  <si>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</si>
  <si>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</si>
  <si>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</si>
  <si>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</si>
  <si>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</si>
  <si>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</si>
  <si>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</si>
  <si>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</si>
  <si>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</si>
  <si>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</si>
  <si>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</si>
  <si>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</si>
  <si>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</si>
  <si>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</si>
  <si>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</si>
  <si>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</si>
  <si>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</si>
  <si>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</si>
  <si>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</si>
  <si>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</si>
  <si>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</si>
  <si>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</si>
  <si>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</si>
  <si>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</si>
  <si>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</si>
  <si>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</si>
  <si>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</si>
  <si>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</si>
  <si>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</si>
  <si>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</si>
  <si>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</si>
  <si>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</si>
  <si>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</si>
  <si>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</si>
  <si>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</si>
  <si>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</si>
  <si>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</si>
  <si>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</si>
  <si>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</si>
  <si>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</si>
  <si>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</si>
  <si>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</si>
  <si>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</si>
  <si>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</si>
  <si>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</si>
  <si>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</si>
  <si>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</si>
  <si>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</si>
  <si>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</si>
  <si>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</si>
  <si>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</si>
  <si>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</si>
  <si>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</si>
  <si>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</si>
  <si>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</si>
  <si>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</si>
  <si>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</si>
  <si>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</si>
  <si>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</si>
  <si>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</si>
  <si>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</si>
  <si>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</si>
  <si>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</si>
  <si>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</si>
  <si>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</si>
  <si>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</si>
  <si>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</si>
  <si>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</si>
  <si>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</si>
  <si>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</si>
  <si>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</si>
  <si>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</si>
  <si>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</si>
  <si>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</si>
  <si>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</si>
  <si>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</si>
  <si>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</si>
  <si>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</si>
  <si>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</si>
  <si>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</si>
  <si>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</si>
  <si>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</si>
  <si>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</si>
  <si>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</si>
  <si>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</si>
  <si>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</si>
  <si>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</si>
  <si>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</si>
  <si>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</si>
  <si>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</si>
  <si>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</si>
  <si>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</si>
  <si>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</si>
  <si>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</si>
  <si>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</si>
  <si>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</si>
  <si>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</si>
  <si>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</si>
  <si>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</si>
  <si>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</si>
  <si>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</si>
  <si>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</si>
  <si>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</si>
  <si>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</si>
  <si>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</si>
  <si>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</si>
  <si>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</si>
  <si>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</si>
  <si>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</si>
  <si>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</si>
  <si>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</si>
  <si>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</si>
  <si>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</si>
  <si>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</si>
  <si>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</si>
  <si>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</si>
  <si>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</si>
  <si>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</si>
  <si>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</si>
  <si>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</si>
  <si>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</si>
  <si>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</si>
  <si>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</si>
  <si>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</si>
  <si>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</si>
  <si>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</si>
  <si>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</si>
  <si>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</si>
  <si>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</si>
  <si>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</si>
  <si>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</si>
  <si>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</si>
  <si>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</si>
  <si>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</si>
  <si>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</si>
  <si>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</si>
  <si>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</si>
  <si>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</si>
  <si>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</si>
  <si>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</si>
  <si>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</si>
  <si>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</si>
  <si>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</si>
  <si>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</si>
  <si>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</si>
  <si>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</si>
  <si>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</si>
  <si>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</si>
  <si>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</si>
  <si>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</si>
  <si>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</si>
  <si>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</si>
  <si>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</si>
  <si>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</si>
  <si>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</si>
  <si>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</si>
  <si>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</si>
  <si>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</si>
  <si>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</si>
  <si>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</si>
  <si>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</si>
  <si>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</si>
  <si>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</si>
  <si>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</si>
  <si>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</si>
  <si>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</si>
  <si>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</si>
  <si>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</si>
  <si>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</si>
  <si>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</si>
  <si>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</si>
  <si>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</si>
  <si>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</si>
  <si>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</si>
  <si>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</si>
  <si>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</si>
  <si>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</si>
  <si>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</si>
  <si>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</si>
  <si>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</si>
  <si>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</si>
  <si>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</si>
  <si>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</si>
  <si>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</si>
  <si>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</si>
  <si>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</si>
  <si>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</si>
  <si>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</si>
  <si>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</si>
  <si>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</si>
  <si>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</si>
  <si>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</si>
  <si>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</si>
  <si>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</si>
  <si>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</si>
  <si>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</si>
  <si>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</si>
  <si>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</si>
  <si>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</si>
  <si>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</si>
  <si>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</si>
  <si>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</si>
  <si>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</si>
  <si>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</si>
  <si>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</si>
  <si>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</si>
  <si>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</si>
  <si>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</si>
  <si>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</si>
  <si>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</si>
  <si>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</si>
  <si>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</si>
  <si>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</si>
  <si>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</si>
  <si>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</si>
  <si>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</si>
  <si>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</si>
  <si>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</si>
  <si>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</si>
  <si>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</si>
  <si>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</si>
  <si>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</si>
  <si>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</si>
  <si>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</si>
  <si>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</si>
  <si>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</si>
  <si>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</si>
  <si>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</si>
  <si>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</si>
  <si>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</si>
  <si>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</si>
  <si>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</si>
  <si>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</si>
  <si>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</si>
  <si>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</si>
  <si>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</si>
  <si>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</si>
  <si>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</si>
  <si>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</si>
  <si>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</si>
  <si>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</si>
  <si>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</si>
  <si>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</si>
  <si>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</si>
  <si>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</si>
  <si>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</si>
  <si>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</si>
  <si>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</si>
  <si>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</si>
  <si>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</si>
  <si>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</si>
  <si>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</si>
  <si>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</si>
  <si>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</si>
  <si>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</si>
  <si>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</si>
  <si>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</si>
  <si>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</si>
  <si>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</si>
  <si>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</si>
  <si>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</si>
  <si>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</si>
  <si>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</si>
  <si>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</si>
  <si>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</si>
  <si>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</si>
  <si>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</si>
  <si>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</si>
  <si>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</si>
  <si>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</si>
  <si>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</si>
  <si>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</si>
  <si>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</si>
  <si>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</si>
  <si>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</si>
  <si>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</si>
  <si>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</si>
  <si>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</si>
  <si>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</si>
  <si>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</si>
  <si>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</si>
  <si>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</si>
  <si>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</si>
  <si>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</si>
  <si>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</si>
  <si>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</si>
  <si>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</si>
  <si>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</si>
  <si>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</si>
  <si>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</si>
  <si>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</si>
  <si>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</si>
  <si>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</si>
  <si>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</si>
  <si>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</si>
  <si>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</si>
  <si>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</si>
  <si>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8.5</t>
  </si>
  <si>
    <t>Nguyễn Văn Liệt</t>
  </si>
  <si>
    <t>8.4</t>
  </si>
  <si>
    <t>8.3</t>
  </si>
  <si>
    <t>8.2</t>
  </si>
  <si>
    <t>8.1</t>
  </si>
  <si>
    <t>Huyện Cầu Kè</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</si>
  <si>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</si>
  <si>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</si>
  <si>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</si>
  <si>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</si>
  <si>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</si>
  <si>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</si>
  <si>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</si>
  <si>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</si>
  <si>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</si>
  <si>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</si>
  <si>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</si>
  <si>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</si>
  <si>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</si>
  <si>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</si>
  <si>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</si>
  <si>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</si>
  <si>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</si>
  <si>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</si>
  <si>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</si>
  <si>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</si>
  <si>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</si>
  <si>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Trần Thị Điệp</t>
  </si>
  <si>
    <t>Huyện Cầu Ngang</t>
  </si>
  <si>
    <t>Lào Thị Hưởng</t>
  </si>
  <si>
    <t>Huyện Duyên Hải</t>
  </si>
  <si>
    <t>3.4</t>
  </si>
  <si>
    <t>Huỳnh Hoàng Vũ</t>
  </si>
  <si>
    <t>Ngô Văn Sỹ</t>
  </si>
  <si>
    <t>Thị Xã Duyên Hải</t>
  </si>
  <si>
    <t>Thạch Phong</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</si>
  <si>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</si>
  <si>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</si>
  <si>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</si>
  <si>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</si>
  <si>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</si>
  <si>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</si>
  <si>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</si>
  <si>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</si>
  <si>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</si>
  <si>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</si>
  <si>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</si>
  <si>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</si>
  <si>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</si>
  <si>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</si>
  <si>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Phan Văn Phóng</t>
  </si>
  <si>
    <t>Chung Ngọc Cảnh</t>
  </si>
  <si>
    <t>Nguyễn Minh Khiêm</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</si>
  <si>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</si>
  <si>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</si>
  <si>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</si>
  <si>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</si>
  <si>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</si>
  <si>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</si>
  <si>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</si>
  <si>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</si>
  <si>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</si>
  <si>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</si>
  <si>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</si>
  <si>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</si>
  <si>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</si>
  <si>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</si>
  <si>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</si>
  <si>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</si>
  <si>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</si>
  <si>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Có điều kiện / tổng số phải thi hành</t>
  </si>
  <si>
    <t>Có điều kiện chuyển kỳ sau</t>
  </si>
  <si>
    <t>19</t>
  </si>
  <si>
    <t>20</t>
  </si>
  <si>
    <t>21</t>
  </si>
  <si>
    <t>22</t>
  </si>
  <si>
    <t>23</t>
  </si>
  <si>
    <t>Trần Văn To</t>
  </si>
  <si>
    <t>Huỳnh Văn Kha</t>
  </si>
  <si>
    <t>Lê Thị Cẩm Thúy</t>
  </si>
  <si>
    <t>6.6</t>
  </si>
  <si>
    <t>Phan Ngọc Siêng</t>
  </si>
  <si>
    <t>5.5</t>
  </si>
  <si>
    <t>Số việc
 có ĐK 2017</t>
  </si>
  <si>
    <t>Tỷ lệ án tồn</t>
  </si>
  <si>
    <t>Nguyễn Minh Kiệt</t>
  </si>
  <si>
    <t>24</t>
  </si>
  <si>
    <t>25</t>
  </si>
  <si>
    <t>So sánh</t>
  </si>
  <si>
    <t>26</t>
  </si>
  <si>
    <t>Trần Minh Đang</t>
  </si>
  <si>
    <t>Nguyễn Quốc Việt</t>
  </si>
  <si>
    <t>2.5</t>
  </si>
  <si>
    <t>Nguyễn Hoàng Nhiên</t>
  </si>
  <si>
    <t>Kim Dong</t>
  </si>
  <si>
    <t xml:space="preserve"> Phùng Hữu Trí</t>
  </si>
  <si>
    <t>Nguyễn Thị Xuân Liễu</t>
  </si>
  <si>
    <t xml:space="preserve"> Hà T Thanh Loan</t>
  </si>
  <si>
    <t>8.6</t>
  </si>
  <si>
    <t>Thạch Thị Sa Gang</t>
  </si>
  <si>
    <t>9.5</t>
  </si>
  <si>
    <t>Thạch Đa Ra</t>
  </si>
  <si>
    <t>Dương Trung Trực</t>
  </si>
  <si>
    <t>Nguyễn Thanh Tùng</t>
  </si>
  <si>
    <t>Trần T Ngọc Hương</t>
  </si>
  <si>
    <t>Phạm Văn Bửu</t>
  </si>
  <si>
    <t>7.6</t>
  </si>
  <si>
    <t>Huỳnh Thanh Hải</t>
  </si>
  <si>
    <t>Huuỳnh Long Thắng</t>
  </si>
  <si>
    <t>Huỳnh Long Thắng</t>
  </si>
  <si>
    <t>Nguyễn Thanh Cao</t>
  </si>
  <si>
    <t xml:space="preserve"> Nguyễn Văn Liệt</t>
  </si>
  <si>
    <t>Huỳnh Công Thành</t>
  </si>
  <si>
    <t>Số chưa có điều kiện chuyển sổ theo dõi riêng</t>
  </si>
  <si>
    <t>27</t>
  </si>
  <si>
    <t>Số việc
 có ĐK 2018</t>
  </si>
  <si>
    <t>Thủy</t>
  </si>
  <si>
    <t>Kiệt</t>
  </si>
  <si>
    <t>Lâm Thị Bé Ba</t>
  </si>
  <si>
    <t>Phạm Thị Như Thủy</t>
  </si>
  <si>
    <t>01 tháng / năm 2020</t>
  </si>
  <si>
    <t>Trần Thị Thu Hiền</t>
  </si>
  <si>
    <t>Thạch Chanh Đa Ra</t>
  </si>
  <si>
    <t>3.5</t>
  </si>
  <si>
    <r>
      <rPr>
        <sz val="12"/>
        <color indexed="10"/>
        <rFont val="Times New Roman"/>
        <family val="1"/>
      </rPr>
      <t>Trà Vinh</t>
    </r>
    <r>
      <rPr>
        <sz val="12"/>
        <rFont val="Times New Roman"/>
        <family val="1"/>
      </rPr>
      <t>, ngày 04</t>
    </r>
    <r>
      <rPr>
        <sz val="12"/>
        <color indexed="10"/>
        <rFont val="Times New Roman"/>
        <family val="1"/>
      </rPr>
      <t xml:space="preserve"> </t>
    </r>
    <r>
      <rPr>
        <sz val="12"/>
        <rFont val="Times New Roman"/>
        <family val="1"/>
      </rPr>
      <t>tháng11 năm 2019</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</si>
</sst>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s>
  <fonts count="180">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7"/>
      <name val="Times New Roman"/>
      <family val="1"/>
    </font>
    <font>
      <b/>
      <sz val="11"/>
      <name val=".VnTime"/>
      <family val="2"/>
    </font>
    <font>
      <sz val="11"/>
      <name val=".VnTime"/>
      <family val="2"/>
    </font>
    <font>
      <sz val="6"/>
      <name val="Times New Roman"/>
      <family val="1"/>
    </font>
    <font>
      <sz val="8"/>
      <color indexed="10"/>
      <name val="Times New Roman"/>
      <family val="1"/>
    </font>
    <font>
      <sz val="5"/>
      <name val="Times New Roman"/>
      <family val="1"/>
    </font>
    <font>
      <b/>
      <i/>
      <sz val="5"/>
      <name val="Times New Roman"/>
      <family val="1"/>
    </font>
    <font>
      <i/>
      <sz val="5"/>
      <name val="Times New Roman"/>
      <family val="1"/>
    </font>
    <font>
      <b/>
      <i/>
      <sz val="7"/>
      <name val="Times New Roman"/>
      <family val="1"/>
    </font>
    <font>
      <i/>
      <sz val="7"/>
      <name val="Times New Roman"/>
      <family val="1"/>
    </font>
    <font>
      <b/>
      <sz val="5"/>
      <name val="Times New Roman"/>
      <family val="1"/>
    </font>
    <font>
      <sz val="8"/>
      <color indexed="8"/>
      <name val="Times New Roman"/>
      <family val="1"/>
    </font>
    <font>
      <sz val="10"/>
      <color indexed="8"/>
      <name val="Times New Roman"/>
      <family val="1"/>
    </font>
    <font>
      <i/>
      <sz val="8"/>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9"/>
      <color indexed="10"/>
      <name val="Times New Roman"/>
      <family val="1"/>
    </font>
    <font>
      <sz val="7"/>
      <color indexed="10"/>
      <name val="Times New Roman"/>
      <family val="1"/>
    </font>
    <font>
      <sz val="9"/>
      <color indexed="10"/>
      <name val="Times New Roman"/>
      <family val="1"/>
    </font>
    <font>
      <sz val="6"/>
      <color indexed="10"/>
      <name val="Times New Roman"/>
      <family val="1"/>
    </font>
    <font>
      <i/>
      <sz val="5"/>
      <color indexed="10"/>
      <name val="Times New Roman"/>
      <family val="1"/>
    </font>
    <font>
      <b/>
      <sz val="10"/>
      <color indexed="10"/>
      <name val="Times New Roman"/>
      <family val="1"/>
    </font>
    <font>
      <sz val="11"/>
      <color indexed="36"/>
      <name val="Times New Roman"/>
      <family val="1"/>
    </font>
    <font>
      <sz val="8"/>
      <color indexed="36"/>
      <name val="Times New Roman"/>
      <family val="1"/>
    </font>
    <font>
      <b/>
      <sz val="8"/>
      <color indexed="10"/>
      <name val="Times New Roman"/>
      <family val="1"/>
    </font>
    <font>
      <b/>
      <i/>
      <sz val="5"/>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8"/>
      <color rgb="FFFF0000"/>
      <name val="Times New Roman"/>
      <family val="1"/>
    </font>
    <font>
      <i/>
      <sz val="9"/>
      <color rgb="FFFF0000"/>
      <name val="Times New Roman"/>
      <family val="1"/>
    </font>
    <font>
      <sz val="7"/>
      <color rgb="FFFF0000"/>
      <name val="Times New Roman"/>
      <family val="1"/>
    </font>
    <font>
      <sz val="10"/>
      <color rgb="FFFF0000"/>
      <name val="Times New Roman"/>
      <family val="1"/>
    </font>
    <font>
      <sz val="9"/>
      <color rgb="FFFF0000"/>
      <name val="Times New Roman"/>
      <family val="1"/>
    </font>
    <font>
      <sz val="6"/>
      <color rgb="FFFF0000"/>
      <name val="Times New Roman"/>
      <family val="1"/>
    </font>
    <font>
      <i/>
      <sz val="5"/>
      <color rgb="FFFF0000"/>
      <name val="Times New Roman"/>
      <family val="1"/>
    </font>
    <font>
      <sz val="11"/>
      <color rgb="FFFF0000"/>
      <name val="Times New Roman"/>
      <family val="1"/>
    </font>
    <font>
      <b/>
      <sz val="10"/>
      <color rgb="FFFF0000"/>
      <name val="Times New Roman"/>
      <family val="1"/>
    </font>
    <font>
      <sz val="11"/>
      <color rgb="FF7030A0"/>
      <name val="Times New Roman"/>
      <family val="1"/>
    </font>
    <font>
      <sz val="8"/>
      <color rgb="FF7030A0"/>
      <name val="Times New Roman"/>
      <family val="1"/>
    </font>
    <font>
      <sz val="8"/>
      <color rgb="FF000000"/>
      <name val="Times New Roman"/>
      <family val="1"/>
    </font>
    <font>
      <sz val="10"/>
      <color rgb="FF000000"/>
      <name val="Times New Roman"/>
      <family val="1"/>
    </font>
    <font>
      <sz val="10"/>
      <color theme="1"/>
      <name val="Times New Roman"/>
      <family val="1"/>
    </font>
    <font>
      <sz val="8"/>
      <color theme="1"/>
      <name val="Times New Roman"/>
      <family val="1"/>
    </font>
    <font>
      <b/>
      <i/>
      <sz val="9"/>
      <color rgb="FFFF0000"/>
      <name val="Times New Roman"/>
      <family val="1"/>
    </font>
    <font>
      <b/>
      <i/>
      <sz val="5"/>
      <color rgb="FFFF0000"/>
      <name val="Times New Roman"/>
      <family val="1"/>
    </font>
    <font>
      <b/>
      <sz val="8"/>
      <color rgb="FFFF0000"/>
      <name val="Times New Roman"/>
      <family val="1"/>
    </font>
    <font>
      <b/>
      <sz val="8"/>
      <name val="Times New Roman"/>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00B0F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2"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42"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42"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42"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2"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42"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42"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2"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42"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42"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2"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2"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43"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43"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3"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43"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3"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3"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43"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43"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43"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43"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3"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3"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44"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45" fillId="37" borderId="1" applyNumberFormat="0" applyAlignment="0" applyProtection="0"/>
    <xf numFmtId="0" fontId="38" fillId="38" borderId="2" applyNumberFormat="0" applyAlignment="0" applyProtection="0"/>
    <xf numFmtId="0" fontId="38" fillId="38" borderId="2" applyNumberFormat="0" applyAlignment="0" applyProtection="0"/>
    <xf numFmtId="0" fontId="146" fillId="39" borderId="3" applyNumberFormat="0" applyAlignment="0" applyProtection="0"/>
    <xf numFmtId="0" fontId="39" fillId="40" borderId="4" applyNumberFormat="0" applyAlignment="0" applyProtection="0"/>
    <xf numFmtId="0" fontId="39"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14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49"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50"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51"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52"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5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53" fillId="42" borderId="1" applyNumberFormat="0" applyAlignment="0" applyProtection="0"/>
    <xf numFmtId="0" fontId="45" fillId="9" borderId="2" applyNumberFormat="0" applyAlignment="0" applyProtection="0"/>
    <xf numFmtId="0" fontId="45" fillId="9" borderId="2" applyNumberFormat="0" applyAlignment="0" applyProtection="0"/>
    <xf numFmtId="0" fontId="154"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55"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4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56"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147" fillId="0" borderId="0" applyFont="0" applyFill="0" applyBorder="0" applyAlignment="0" applyProtection="0"/>
    <xf numFmtId="0" fontId="157"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58"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5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1042">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3" applyNumberFormat="1" applyFont="1" applyFill="1" applyBorder="1" applyAlignment="1" applyProtection="1">
      <alignment horizontal="center" vertical="center"/>
      <protection/>
    </xf>
    <xf numFmtId="49" fontId="0" fillId="47" borderId="0" xfId="145" applyNumberFormat="1" applyFont="1" applyFill="1" applyBorder="1" applyAlignment="1">
      <alignment horizontal="left"/>
      <protection/>
    </xf>
    <xf numFmtId="49" fontId="0" fillId="0" borderId="0" xfId="145" applyNumberFormat="1" applyFont="1">
      <alignment/>
      <protection/>
    </xf>
    <xf numFmtId="49" fontId="0" fillId="0" borderId="0" xfId="145" applyNumberFormat="1">
      <alignment/>
      <protection/>
    </xf>
    <xf numFmtId="49" fontId="0" fillId="0" borderId="0" xfId="145" applyNumberFormat="1" applyFont="1" applyAlignment="1">
      <alignment horizontal="left"/>
      <protection/>
    </xf>
    <xf numFmtId="49" fontId="0" fillId="0" borderId="0" xfId="145" applyNumberFormat="1" applyFont="1" applyBorder="1" applyAlignment="1">
      <alignment wrapText="1"/>
      <protection/>
    </xf>
    <xf numFmtId="49" fontId="15" fillId="0" borderId="0" xfId="145" applyNumberFormat="1" applyFont="1" applyAlignment="1">
      <alignment/>
      <protection/>
    </xf>
    <xf numFmtId="49" fontId="0" fillId="0" borderId="0" xfId="145" applyNumberFormat="1" applyFont="1" applyBorder="1" applyAlignment="1">
      <alignment horizontal="left" wrapText="1"/>
      <protection/>
    </xf>
    <xf numFmtId="49" fontId="18" fillId="0" borderId="0" xfId="145" applyNumberFormat="1" applyFont="1" applyAlignment="1">
      <alignment horizontal="left"/>
      <protection/>
    </xf>
    <xf numFmtId="49" fontId="0" fillId="0" borderId="0" xfId="145" applyNumberFormat="1" applyFont="1" applyFill="1" applyAlignment="1">
      <alignment/>
      <protection/>
    </xf>
    <xf numFmtId="49" fontId="0" fillId="0" borderId="0" xfId="145" applyNumberFormat="1" applyFont="1" applyFill="1" applyAlignment="1">
      <alignment horizontal="center"/>
      <protection/>
    </xf>
    <xf numFmtId="49" fontId="0" fillId="0" borderId="0" xfId="145" applyNumberFormat="1" applyFont="1" applyAlignment="1">
      <alignment horizontal="center"/>
      <protection/>
    </xf>
    <xf numFmtId="49" fontId="0" fillId="0" borderId="0" xfId="145" applyNumberFormat="1" applyFont="1" applyFill="1">
      <alignment/>
      <protection/>
    </xf>
    <xf numFmtId="49" fontId="13" fillId="47" borderId="22" xfId="145" applyNumberFormat="1" applyFont="1" applyFill="1" applyBorder="1" applyAlignment="1">
      <alignment/>
      <protection/>
    </xf>
    <xf numFmtId="49" fontId="7" fillId="0" borderId="20" xfId="145" applyNumberFormat="1" applyFont="1" applyFill="1" applyBorder="1" applyAlignment="1">
      <alignment horizontal="center" vertical="center" wrapText="1"/>
      <protection/>
    </xf>
    <xf numFmtId="49" fontId="52" fillId="48" borderId="20" xfId="145" applyNumberFormat="1" applyFont="1" applyFill="1" applyBorder="1" applyAlignment="1">
      <alignment horizontal="center"/>
      <protection/>
    </xf>
    <xf numFmtId="49" fontId="7" fillId="0" borderId="21" xfId="145" applyNumberFormat="1" applyFont="1" applyFill="1" applyBorder="1" applyAlignment="1">
      <alignment horizontal="center" vertical="center" wrapText="1"/>
      <protection/>
    </xf>
    <xf numFmtId="49" fontId="7" fillId="0" borderId="20" xfId="145" applyNumberFormat="1" applyFont="1" applyBorder="1" applyAlignment="1">
      <alignment horizontal="center" vertical="center" wrapText="1"/>
      <protection/>
    </xf>
    <xf numFmtId="49" fontId="53" fillId="0" borderId="20" xfId="145" applyNumberFormat="1" applyFont="1" applyFill="1" applyBorder="1" applyAlignment="1">
      <alignment horizontal="center" vertical="center" wrapText="1"/>
      <protection/>
    </xf>
    <xf numFmtId="49" fontId="18" fillId="0" borderId="20" xfId="145" applyNumberFormat="1" applyFont="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0" xfId="145" applyNumberFormat="1" applyFont="1" applyBorder="1" applyAlignment="1">
      <alignment vertical="center"/>
      <protection/>
    </xf>
    <xf numFmtId="49" fontId="0" fillId="0" borderId="0" xfId="145" applyNumberFormat="1" applyAlignment="1">
      <alignment vertical="center"/>
      <protection/>
    </xf>
    <xf numFmtId="3" fontId="51" fillId="3" borderId="20" xfId="145" applyNumberFormat="1" applyFont="1" applyFill="1" applyBorder="1" applyAlignment="1">
      <alignment vertical="center"/>
      <protection/>
    </xf>
    <xf numFmtId="3" fontId="56" fillId="3" borderId="20" xfId="145" applyNumberFormat="1" applyFont="1" applyFill="1" applyBorder="1" applyAlignment="1">
      <alignment vertical="center"/>
      <protection/>
    </xf>
    <xf numFmtId="49" fontId="57" fillId="0" borderId="20" xfId="145" applyNumberFormat="1" applyFont="1" applyBorder="1" applyAlignment="1">
      <alignment horizontal="center" vertical="center"/>
      <protection/>
    </xf>
    <xf numFmtId="3" fontId="25" fillId="44" borderId="20" xfId="145" applyNumberFormat="1" applyFont="1" applyFill="1" applyBorder="1" applyAlignment="1">
      <alignment vertical="center"/>
      <protection/>
    </xf>
    <xf numFmtId="3" fontId="3" fillId="48" borderId="20" xfId="145" applyNumberFormat="1" applyFont="1" applyFill="1" applyBorder="1" applyAlignment="1">
      <alignment horizontal="center" vertical="center"/>
      <protection/>
    </xf>
    <xf numFmtId="3" fontId="3" fillId="48" borderId="20" xfId="145" applyNumberFormat="1" applyFont="1" applyFill="1" applyBorder="1" applyAlignment="1">
      <alignment vertical="center"/>
      <protection/>
    </xf>
    <xf numFmtId="49" fontId="7" fillId="44" borderId="20" xfId="145" applyNumberFormat="1" applyFont="1" applyFill="1" applyBorder="1" applyAlignment="1">
      <alignment horizontal="center" vertical="center"/>
      <protection/>
    </xf>
    <xf numFmtId="49" fontId="7" fillId="44" borderId="20" xfId="145" applyNumberFormat="1" applyFont="1" applyFill="1" applyBorder="1" applyAlignment="1">
      <alignment horizontal="left" vertical="center"/>
      <protection/>
    </xf>
    <xf numFmtId="3" fontId="28" fillId="48" borderId="20" xfId="145" applyNumberFormat="1" applyFont="1" applyFill="1" applyBorder="1" applyAlignment="1">
      <alignment vertical="center"/>
      <protection/>
    </xf>
    <xf numFmtId="3" fontId="28" fillId="0" borderId="20" xfId="145" applyNumberFormat="1" applyFont="1" applyFill="1" applyBorder="1" applyAlignment="1">
      <alignment vertical="center"/>
      <protection/>
    </xf>
    <xf numFmtId="9" fontId="0" fillId="0" borderId="0" xfId="154" applyFont="1" applyAlignment="1">
      <alignment vertical="center"/>
    </xf>
    <xf numFmtId="49" fontId="7" fillId="44" borderId="23" xfId="145" applyNumberFormat="1" applyFont="1" applyFill="1" applyBorder="1" applyAlignment="1">
      <alignment horizontal="center" vertical="center"/>
      <protection/>
    </xf>
    <xf numFmtId="3" fontId="25" fillId="44" borderId="20" xfId="145" applyNumberFormat="1" applyFont="1" applyFill="1" applyBorder="1" applyAlignment="1">
      <alignment vertical="center"/>
      <protection/>
    </xf>
    <xf numFmtId="49" fontId="4" fillId="0" borderId="20" xfId="145" applyNumberFormat="1" applyFont="1" applyBorder="1" applyAlignment="1">
      <alignment horizontal="center" vertical="center"/>
      <protection/>
    </xf>
    <xf numFmtId="49" fontId="4" fillId="47" borderId="20" xfId="145" applyNumberFormat="1" applyFont="1" applyFill="1" applyBorder="1" applyAlignment="1">
      <alignment horizontal="left" vertical="center"/>
      <protection/>
    </xf>
    <xf numFmtId="49" fontId="5" fillId="47" borderId="20" xfId="145" applyNumberFormat="1" applyFont="1" applyFill="1" applyBorder="1" applyAlignment="1">
      <alignment horizontal="left" vertical="center"/>
      <protection/>
    </xf>
    <xf numFmtId="3" fontId="28" fillId="0" borderId="20" xfId="146" applyNumberFormat="1" applyFont="1" applyFill="1" applyBorder="1" applyAlignment="1">
      <alignment vertical="center"/>
      <protection/>
    </xf>
    <xf numFmtId="49" fontId="20" fillId="0" borderId="0" xfId="145" applyNumberFormat="1" applyFont="1" applyAlignment="1">
      <alignment vertical="center"/>
      <protection/>
    </xf>
    <xf numFmtId="49" fontId="4" fillId="47" borderId="20" xfId="145" applyNumberFormat="1" applyFont="1" applyFill="1" applyBorder="1" applyAlignment="1">
      <alignment horizontal="left" vertical="center"/>
      <protection/>
    </xf>
    <xf numFmtId="3" fontId="28" fillId="0" borderId="20" xfId="146" applyNumberFormat="1" applyFont="1" applyFill="1" applyBorder="1" applyAlignment="1">
      <alignment horizontal="center" vertical="center"/>
      <protection/>
    </xf>
    <xf numFmtId="49" fontId="0" fillId="0" borderId="0" xfId="145" applyNumberFormat="1" applyFill="1">
      <alignment/>
      <protection/>
    </xf>
    <xf numFmtId="49" fontId="20" fillId="0" borderId="0" xfId="145" applyNumberFormat="1" applyFont="1">
      <alignment/>
      <protection/>
    </xf>
    <xf numFmtId="49" fontId="28" fillId="0" borderId="0" xfId="145" applyNumberFormat="1" applyFont="1" applyFill="1" applyBorder="1" applyAlignment="1">
      <alignment horizontal="center" wrapText="1"/>
      <protection/>
    </xf>
    <xf numFmtId="49" fontId="58" fillId="0" borderId="0" xfId="145" applyNumberFormat="1" applyFont="1" applyBorder="1">
      <alignment/>
      <protection/>
    </xf>
    <xf numFmtId="49" fontId="59" fillId="0" borderId="0" xfId="145" applyNumberFormat="1" applyFont="1">
      <alignment/>
      <protection/>
    </xf>
    <xf numFmtId="49" fontId="1" fillId="0" borderId="0" xfId="145" applyNumberFormat="1" applyFont="1">
      <alignment/>
      <protection/>
    </xf>
    <xf numFmtId="9" fontId="1" fillId="0" borderId="0" xfId="154" applyFont="1" applyAlignment="1">
      <alignment/>
    </xf>
    <xf numFmtId="49" fontId="60" fillId="0" borderId="0" xfId="145" applyNumberFormat="1" applyFont="1" applyBorder="1">
      <alignment/>
      <protection/>
    </xf>
    <xf numFmtId="49" fontId="25" fillId="0" borderId="0" xfId="145" applyNumberFormat="1" applyFont="1" applyBorder="1" applyAlignment="1">
      <alignment horizontal="center" wrapText="1"/>
      <protection/>
    </xf>
    <xf numFmtId="49" fontId="25" fillId="0" borderId="0" xfId="145" applyNumberFormat="1" applyFont="1" applyFill="1" applyBorder="1" applyAlignment="1">
      <alignment horizontal="center" wrapText="1"/>
      <protection/>
    </xf>
    <xf numFmtId="49" fontId="61" fillId="0" borderId="0" xfId="145" applyNumberFormat="1" applyFont="1" applyBorder="1">
      <alignment/>
      <protection/>
    </xf>
    <xf numFmtId="49" fontId="62" fillId="0" borderId="0" xfId="145" applyNumberFormat="1" applyFont="1" applyBorder="1" applyAlignment="1">
      <alignment wrapText="1"/>
      <protection/>
    </xf>
    <xf numFmtId="49" fontId="2" fillId="0" borderId="0" xfId="145" applyNumberFormat="1" applyFont="1" applyBorder="1">
      <alignment/>
      <protection/>
    </xf>
    <xf numFmtId="49" fontId="39" fillId="0" borderId="0" xfId="145" applyNumberFormat="1" applyFont="1" applyBorder="1" applyAlignment="1">
      <alignment horizontal="center" wrapText="1"/>
      <protection/>
    </xf>
    <xf numFmtId="49" fontId="39" fillId="0" borderId="0" xfId="145" applyNumberFormat="1" applyFont="1" applyFill="1" applyBorder="1" applyAlignment="1">
      <alignment horizontal="center" wrapText="1"/>
      <protection/>
    </xf>
    <xf numFmtId="49" fontId="63" fillId="0" borderId="0" xfId="145" applyNumberFormat="1" applyFont="1" applyBorder="1">
      <alignment/>
      <protection/>
    </xf>
    <xf numFmtId="49" fontId="28" fillId="0" borderId="0" xfId="145" applyNumberFormat="1" applyFont="1">
      <alignment/>
      <protection/>
    </xf>
    <xf numFmtId="49" fontId="28" fillId="0" borderId="0" xfId="145" applyNumberFormat="1" applyFont="1" applyFill="1">
      <alignment/>
      <protection/>
    </xf>
    <xf numFmtId="49" fontId="28" fillId="47" borderId="0" xfId="145" applyNumberFormat="1" applyFont="1" applyFill="1">
      <alignmen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0" fontId="65" fillId="0" borderId="0" xfId="145" applyFont="1" applyAlignment="1">
      <alignment/>
      <protection/>
    </xf>
    <xf numFmtId="0" fontId="3" fillId="0" borderId="0" xfId="145" applyFont="1" applyAlignment="1">
      <alignment/>
      <protection/>
    </xf>
    <xf numFmtId="49" fontId="30" fillId="0" borderId="0" xfId="145" applyNumberFormat="1" applyFont="1">
      <alignment/>
      <protection/>
    </xf>
    <xf numFmtId="3" fontId="0" fillId="0" borderId="0" xfId="145" applyNumberFormat="1" applyFont="1" applyFill="1">
      <alignment/>
      <protection/>
    </xf>
    <xf numFmtId="49" fontId="3"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0" fillId="0" borderId="0" xfId="145" applyNumberFormat="1" applyFont="1" applyFill="1" applyBorder="1">
      <alignment/>
      <protection/>
    </xf>
    <xf numFmtId="49" fontId="19" fillId="0" borderId="22" xfId="145" applyNumberFormat="1" applyFont="1" applyFill="1" applyBorder="1" applyAlignment="1">
      <alignment/>
      <protection/>
    </xf>
    <xf numFmtId="49" fontId="5" fillId="0" borderId="22" xfId="145" applyNumberFormat="1" applyFont="1" applyFill="1" applyBorder="1" applyAlignment="1">
      <alignment horizontal="center"/>
      <protection/>
    </xf>
    <xf numFmtId="49" fontId="0" fillId="0" borderId="0" xfId="145" applyNumberFormat="1" applyFill="1" applyBorder="1">
      <alignment/>
      <protection/>
    </xf>
    <xf numFmtId="49" fontId="6" fillId="0" borderId="20" xfId="145" applyNumberFormat="1" applyFont="1" applyFill="1" applyBorder="1" applyAlignment="1">
      <alignment horizontal="center" vertical="center" wrapText="1"/>
      <protection/>
    </xf>
    <xf numFmtId="49" fontId="19" fillId="0" borderId="20" xfId="145" applyNumberFormat="1" applyFont="1" applyFill="1" applyBorder="1" applyAlignment="1">
      <alignment horizontal="center" vertical="center" wrapText="1"/>
      <protection/>
    </xf>
    <xf numFmtId="3" fontId="29" fillId="3" borderId="20" xfId="145" applyNumberFormat="1" applyFont="1" applyFill="1" applyBorder="1" applyAlignment="1">
      <alignment horizontal="center" vertical="center" wrapText="1"/>
      <protection/>
    </xf>
    <xf numFmtId="3" fontId="68" fillId="3" borderId="20" xfId="145" applyNumberFormat="1" applyFont="1" applyFill="1" applyBorder="1" applyAlignment="1">
      <alignment horizontal="center" vertical="center" wrapText="1"/>
      <protection/>
    </xf>
    <xf numFmtId="3" fontId="6" fillId="44" borderId="20" xfId="145" applyNumberFormat="1" applyFont="1" applyFill="1" applyBorder="1" applyAlignment="1">
      <alignment horizontal="center" vertical="center" wrapText="1"/>
      <protection/>
    </xf>
    <xf numFmtId="49" fontId="7" fillId="0" borderId="20" xfId="145" applyNumberFormat="1" applyFont="1" applyFill="1" applyBorder="1" applyAlignment="1">
      <alignment horizontal="center"/>
      <protection/>
    </xf>
    <xf numFmtId="49" fontId="7" fillId="0" borderId="20" xfId="145" applyNumberFormat="1" applyFont="1" applyFill="1" applyBorder="1" applyAlignment="1">
      <alignment horizontal="left"/>
      <protection/>
    </xf>
    <xf numFmtId="3" fontId="5" fillId="44" borderId="20" xfId="145" applyNumberFormat="1" applyFont="1" applyFill="1" applyBorder="1" applyAlignment="1">
      <alignment horizontal="center" vertical="center" wrapText="1"/>
      <protection/>
    </xf>
    <xf numFmtId="3" fontId="5" fillId="0" borderId="20" xfId="145" applyNumberFormat="1" applyFont="1" applyFill="1" applyBorder="1" applyAlignment="1">
      <alignment horizontal="center" vertical="center" wrapText="1"/>
      <protection/>
    </xf>
    <xf numFmtId="9" fontId="0" fillId="0" borderId="0" xfId="154" applyFont="1" applyFill="1" applyAlignment="1">
      <alignment/>
    </xf>
    <xf numFmtId="49" fontId="7" fillId="44" borderId="23" xfId="145" applyNumberFormat="1" applyFont="1" applyFill="1" applyBorder="1" applyAlignment="1">
      <alignment horizontal="center"/>
      <protection/>
    </xf>
    <xf numFmtId="49" fontId="7" fillId="44" borderId="20" xfId="145" applyNumberFormat="1" applyFont="1" applyFill="1" applyBorder="1" applyAlignment="1">
      <alignment horizontal="left"/>
      <protection/>
    </xf>
    <xf numFmtId="49" fontId="4" fillId="0" borderId="23" xfId="145" applyNumberFormat="1" applyFont="1" applyFill="1" applyBorder="1" applyAlignment="1">
      <alignment horizontal="center"/>
      <protection/>
    </xf>
    <xf numFmtId="49" fontId="4" fillId="47" borderId="20" xfId="145" applyNumberFormat="1" applyFont="1" applyFill="1" applyBorder="1" applyAlignment="1">
      <alignment horizontal="left"/>
      <protection/>
    </xf>
    <xf numFmtId="3" fontId="5" fillId="47" borderId="20" xfId="145" applyNumberFormat="1" applyFont="1" applyFill="1" applyBorder="1" applyAlignment="1">
      <alignment horizontal="center" vertical="center" wrapText="1"/>
      <protection/>
    </xf>
    <xf numFmtId="49" fontId="5" fillId="47" borderId="20" xfId="145" applyNumberFormat="1" applyFont="1" applyFill="1" applyBorder="1" applyAlignment="1">
      <alignment horizontal="left"/>
      <protection/>
    </xf>
    <xf numFmtId="49" fontId="6" fillId="0" borderId="19" xfId="145" applyNumberFormat="1" applyFont="1" applyFill="1" applyBorder="1" applyAlignment="1">
      <alignment horizontal="center"/>
      <protection/>
    </xf>
    <xf numFmtId="49" fontId="6" fillId="0" borderId="19" xfId="145" applyNumberFormat="1" applyFont="1" applyFill="1" applyBorder="1" applyAlignment="1">
      <alignment horizontal="left"/>
      <protection/>
    </xf>
    <xf numFmtId="3" fontId="5" fillId="0" borderId="19" xfId="145" applyNumberFormat="1" applyFont="1" applyFill="1" applyBorder="1" applyAlignment="1">
      <alignment horizontal="center" vertical="center" wrapText="1"/>
      <protection/>
    </xf>
    <xf numFmtId="49" fontId="15" fillId="0" borderId="0" xfId="145" applyNumberFormat="1" applyFont="1" applyFill="1" applyBorder="1" applyAlignment="1">
      <alignment vertical="center" wrapText="1"/>
      <protection/>
    </xf>
    <xf numFmtId="49" fontId="69" fillId="0" borderId="0" xfId="145" applyNumberFormat="1" applyFont="1" applyFill="1">
      <alignment/>
      <protection/>
    </xf>
    <xf numFmtId="49" fontId="4" fillId="0" borderId="0" xfId="145" applyNumberFormat="1" applyFont="1" applyFill="1">
      <alignment/>
      <protection/>
    </xf>
    <xf numFmtId="49" fontId="0" fillId="47" borderId="0" xfId="145" applyNumberFormat="1" applyFont="1" applyFill="1">
      <alignment/>
      <protection/>
    </xf>
    <xf numFmtId="49" fontId="3" fillId="47" borderId="0" xfId="145" applyNumberFormat="1" applyFont="1" applyFill="1" applyAlignment="1">
      <alignment horizontal="center"/>
      <protection/>
    </xf>
    <xf numFmtId="49" fontId="22" fillId="0" borderId="0" xfId="145" applyNumberFormat="1" applyFont="1" applyFill="1">
      <alignment/>
      <protection/>
    </xf>
    <xf numFmtId="49" fontId="3" fillId="0" borderId="0" xfId="145" applyNumberFormat="1" applyFont="1" applyFill="1">
      <alignment/>
      <protection/>
    </xf>
    <xf numFmtId="49" fontId="13" fillId="0" borderId="0" xfId="145" applyNumberFormat="1" applyFont="1" applyFill="1" applyAlignment="1">
      <alignment/>
      <protection/>
    </xf>
    <xf numFmtId="49" fontId="13" fillId="0" borderId="0" xfId="145" applyNumberFormat="1" applyFont="1" applyFill="1" applyAlignment="1">
      <alignment wrapText="1"/>
      <protection/>
    </xf>
    <xf numFmtId="49" fontId="13" fillId="0" borderId="0" xfId="145" applyNumberFormat="1" applyFont="1" applyFill="1" applyAlignment="1">
      <alignment horizontal="left" wrapText="1"/>
      <protection/>
    </xf>
    <xf numFmtId="49" fontId="0" fillId="0" borderId="0" xfId="145" applyNumberFormat="1" applyAlignment="1">
      <alignment horizontal="left"/>
      <protection/>
    </xf>
    <xf numFmtId="49" fontId="0" fillId="0" borderId="0" xfId="145" applyNumberFormat="1" applyFont="1" applyBorder="1" applyAlignment="1">
      <alignment horizontal="left"/>
      <protection/>
    </xf>
    <xf numFmtId="49" fontId="13" fillId="0" borderId="20" xfId="145" applyNumberFormat="1" applyFont="1" applyBorder="1" applyAlignment="1">
      <alignment horizontal="center"/>
      <protection/>
    </xf>
    <xf numFmtId="3" fontId="4" fillId="4" borderId="20" xfId="146" applyNumberFormat="1" applyFont="1" applyFill="1" applyBorder="1" applyAlignment="1">
      <alignment horizontal="center" vertical="center"/>
      <protection/>
    </xf>
    <xf numFmtId="3" fontId="31" fillId="47" borderId="20" xfId="145" applyNumberFormat="1" applyFont="1" applyFill="1" applyBorder="1" applyAlignment="1">
      <alignment horizontal="center" vertical="center"/>
      <protection/>
    </xf>
    <xf numFmtId="3" fontId="17" fillId="3" borderId="20" xfId="145" applyNumberFormat="1" applyFont="1" applyFill="1" applyBorder="1" applyAlignment="1">
      <alignment horizontal="center" vertical="center"/>
      <protection/>
    </xf>
    <xf numFmtId="3" fontId="33" fillId="3"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 borderId="20" xfId="146" applyNumberFormat="1" applyFont="1" applyFill="1" applyBorder="1" applyAlignment="1">
      <alignment horizontal="center" vertical="center"/>
      <protection/>
    </xf>
    <xf numFmtId="49" fontId="7" fillId="0" borderId="20" xfId="145" applyNumberFormat="1" applyFont="1" applyBorder="1" applyAlignment="1">
      <alignment horizontal="center" vertical="center"/>
      <protection/>
    </xf>
    <xf numFmtId="49" fontId="7" fillId="47" borderId="20" xfId="145" applyNumberFormat="1" applyFont="1" applyFill="1" applyBorder="1" applyAlignment="1">
      <alignment horizontal="left" vertical="center"/>
      <protection/>
    </xf>
    <xf numFmtId="3" fontId="4" fillId="47" borderId="20" xfId="145" applyNumberFormat="1" applyFont="1" applyFill="1" applyBorder="1" applyAlignment="1">
      <alignment horizontal="center" vertical="center"/>
      <protection/>
    </xf>
    <xf numFmtId="3" fontId="4" fillId="44" borderId="20" xfId="145" applyNumberFormat="1" applyFont="1" applyFill="1" applyBorder="1" applyAlignment="1">
      <alignment horizontal="center" vertical="center"/>
      <protection/>
    </xf>
    <xf numFmtId="49" fontId="4" fillId="0" borderId="23" xfId="145" applyNumberFormat="1" applyFont="1" applyBorder="1" applyAlignment="1">
      <alignment horizontal="center" vertical="center"/>
      <protection/>
    </xf>
    <xf numFmtId="49" fontId="0" fillId="0" borderId="0" xfId="145" applyNumberFormat="1" applyFont="1" applyAlignment="1">
      <alignment vertical="center"/>
      <protection/>
    </xf>
    <xf numFmtId="3" fontId="4" fillId="0" borderId="20" xfId="145" applyNumberFormat="1" applyFont="1" applyFill="1" applyBorder="1" applyAlignment="1">
      <alignment horizontal="center" vertical="center"/>
      <protection/>
    </xf>
    <xf numFmtId="3" fontId="4" fillId="47" borderId="20" xfId="146" applyNumberFormat="1" applyFont="1" applyFill="1" applyBorder="1" applyAlignment="1">
      <alignment horizontal="center" vertical="center"/>
      <protection/>
    </xf>
    <xf numFmtId="49" fontId="4" fillId="47" borderId="23" xfId="145" applyNumberFormat="1" applyFont="1" applyFill="1" applyBorder="1" applyAlignment="1">
      <alignment horizontal="center" vertical="center"/>
      <protection/>
    </xf>
    <xf numFmtId="9" fontId="20" fillId="0" borderId="0" xfId="154" applyFont="1" applyAlignment="1">
      <alignment vertical="center"/>
    </xf>
    <xf numFmtId="49" fontId="4" fillId="0" borderId="0" xfId="145" applyNumberFormat="1" applyFont="1" applyBorder="1" applyAlignment="1">
      <alignment horizontal="center"/>
      <protection/>
    </xf>
    <xf numFmtId="49" fontId="4" fillId="47" borderId="0" xfId="145" applyNumberFormat="1" applyFont="1" applyFill="1" applyBorder="1" applyAlignment="1">
      <alignment horizontal="left"/>
      <protection/>
    </xf>
    <xf numFmtId="49" fontId="0" fillId="0" borderId="0" xfId="145" applyNumberFormat="1" applyFont="1" applyFill="1" applyBorder="1" applyAlignment="1">
      <alignment horizontal="center"/>
      <protection/>
    </xf>
    <xf numFmtId="3" fontId="4" fillId="47" borderId="19" xfId="146" applyNumberFormat="1" applyFont="1" applyFill="1" applyBorder="1" applyAlignment="1">
      <alignment horizontal="center" vertical="center"/>
      <protection/>
    </xf>
    <xf numFmtId="9" fontId="0" fillId="0" borderId="0" xfId="154" applyFont="1" applyAlignment="1">
      <alignment/>
    </xf>
    <xf numFmtId="49" fontId="28" fillId="0" borderId="0" xfId="145" applyNumberFormat="1" applyFont="1" applyBorder="1" applyAlignment="1">
      <alignment wrapText="1"/>
      <protection/>
    </xf>
    <xf numFmtId="3" fontId="4" fillId="47" borderId="0" xfId="146" applyNumberFormat="1" applyFont="1" applyFill="1" applyBorder="1" applyAlignment="1">
      <alignment horizontal="center" vertical="center"/>
      <protection/>
    </xf>
    <xf numFmtId="49" fontId="28" fillId="0" borderId="0" xfId="145" applyNumberFormat="1" applyFont="1" applyAlignment="1">
      <alignment wrapText="1"/>
      <protection/>
    </xf>
    <xf numFmtId="49" fontId="36" fillId="0" borderId="0" xfId="145" applyNumberFormat="1" applyFont="1">
      <alignment/>
      <protection/>
    </xf>
    <xf numFmtId="49" fontId="36" fillId="0" borderId="0" xfId="145" applyNumberFormat="1" applyFont="1" applyAlignment="1">
      <alignment wrapText="1"/>
      <protection/>
    </xf>
    <xf numFmtId="49" fontId="3" fillId="47" borderId="0" xfId="145" applyNumberFormat="1" applyFont="1" applyFill="1" applyAlignment="1">
      <alignment/>
      <protection/>
    </xf>
    <xf numFmtId="49" fontId="71" fillId="0" borderId="0" xfId="145" applyNumberFormat="1" applyFont="1">
      <alignment/>
      <protection/>
    </xf>
    <xf numFmtId="49" fontId="13" fillId="0" borderId="0" xfId="145" applyNumberFormat="1" applyFont="1" applyBorder="1" applyAlignment="1">
      <alignment wrapText="1"/>
      <protection/>
    </xf>
    <xf numFmtId="49" fontId="0" fillId="0" borderId="0" xfId="147" applyNumberFormat="1" applyFont="1" applyAlignment="1">
      <alignment horizontal="left"/>
      <protection/>
    </xf>
    <xf numFmtId="49" fontId="14" fillId="0" borderId="0" xfId="147" applyNumberFormat="1" applyFont="1" applyAlignment="1">
      <alignment wrapText="1"/>
      <protection/>
    </xf>
    <xf numFmtId="49" fontId="3" fillId="47" borderId="0" xfId="147" applyNumberFormat="1" applyFont="1" applyFill="1" applyBorder="1" applyAlignment="1">
      <alignment horizontal="left"/>
      <protection/>
    </xf>
    <xf numFmtId="49" fontId="0" fillId="47" borderId="0" xfId="147" applyNumberFormat="1" applyFont="1" applyFill="1" applyBorder="1" applyAlignment="1">
      <alignment horizontal="left"/>
      <protection/>
    </xf>
    <xf numFmtId="49" fontId="26" fillId="0" borderId="0" xfId="147" applyNumberFormat="1" applyFont="1">
      <alignment/>
      <protection/>
    </xf>
    <xf numFmtId="49" fontId="0" fillId="47" borderId="0" xfId="147" applyNumberFormat="1" applyFont="1" applyFill="1" applyBorder="1" applyAlignment="1">
      <alignment/>
      <protection/>
    </xf>
    <xf numFmtId="49" fontId="3" fillId="0" borderId="0" xfId="147" applyNumberFormat="1" applyFont="1" applyBorder="1" applyAlignment="1">
      <alignment horizontal="left"/>
      <protection/>
    </xf>
    <xf numFmtId="49" fontId="0" fillId="0" borderId="0" xfId="147" applyNumberFormat="1" applyFont="1" applyBorder="1" applyAlignment="1">
      <alignment horizontal="left"/>
      <protection/>
    </xf>
    <xf numFmtId="49" fontId="0" fillId="0" borderId="0" xfId="147" applyNumberFormat="1" applyFont="1" applyBorder="1" applyAlignment="1">
      <alignment/>
      <protection/>
    </xf>
    <xf numFmtId="49" fontId="18" fillId="0" borderId="22" xfId="147" applyNumberFormat="1" applyFont="1" applyBorder="1" applyAlignment="1">
      <alignment horizontal="left"/>
      <protection/>
    </xf>
    <xf numFmtId="49" fontId="3" fillId="0" borderId="22" xfId="147" applyNumberFormat="1" applyFont="1" applyBorder="1" applyAlignment="1">
      <alignment horizontal="left"/>
      <protection/>
    </xf>
    <xf numFmtId="49" fontId="26" fillId="0" borderId="0" xfId="147" applyNumberFormat="1" applyFont="1" applyFill="1">
      <alignment/>
      <protection/>
    </xf>
    <xf numFmtId="49" fontId="26" fillId="0" borderId="0" xfId="147" applyNumberFormat="1" applyFont="1" applyAlignment="1">
      <alignment vertical="center"/>
      <protection/>
    </xf>
    <xf numFmtId="49" fontId="6" fillId="47" borderId="20" xfId="147" applyNumberFormat="1" applyFont="1" applyFill="1" applyBorder="1" applyAlignment="1">
      <alignment horizontal="left" vertical="center"/>
      <protection/>
    </xf>
    <xf numFmtId="49" fontId="1" fillId="0" borderId="0" xfId="147" applyNumberFormat="1" applyFont="1">
      <alignment/>
      <protection/>
    </xf>
    <xf numFmtId="49" fontId="28" fillId="0" borderId="0" xfId="147" applyNumberFormat="1" applyFont="1" applyBorder="1" applyAlignment="1">
      <alignment/>
      <protection/>
    </xf>
    <xf numFmtId="49" fontId="78" fillId="0" borderId="0" xfId="147" applyNumberFormat="1" applyFont="1">
      <alignment/>
      <protection/>
    </xf>
    <xf numFmtId="49" fontId="25" fillId="0" borderId="0" xfId="147" applyNumberFormat="1" applyFont="1" applyBorder="1" applyAlignment="1">
      <alignment/>
      <protection/>
    </xf>
    <xf numFmtId="49" fontId="5" fillId="0" borderId="0" xfId="147" applyNumberFormat="1" applyFont="1">
      <alignment/>
      <protection/>
    </xf>
    <xf numFmtId="49" fontId="28" fillId="0" borderId="0" xfId="147" applyNumberFormat="1" applyFont="1" applyAlignment="1">
      <alignment horizontal="center"/>
      <protection/>
    </xf>
    <xf numFmtId="49" fontId="28" fillId="0" borderId="0" xfId="147" applyNumberFormat="1" applyFont="1">
      <alignment/>
      <protection/>
    </xf>
    <xf numFmtId="49" fontId="78" fillId="0" borderId="0" xfId="147" applyNumberFormat="1" applyFont="1" applyAlignment="1">
      <alignment horizontal="center"/>
      <protection/>
    </xf>
    <xf numFmtId="49" fontId="13" fillId="0" borderId="0" xfId="147" applyNumberFormat="1" applyFont="1" applyBorder="1" applyAlignment="1">
      <alignment wrapText="1"/>
      <protection/>
    </xf>
    <xf numFmtId="49" fontId="80" fillId="0" borderId="0" xfId="147" applyNumberFormat="1" applyFont="1">
      <alignment/>
      <protection/>
    </xf>
    <xf numFmtId="9" fontId="26" fillId="0" borderId="0" xfId="154" applyFont="1" applyAlignment="1">
      <alignment/>
    </xf>
    <xf numFmtId="3" fontId="0" fillId="47" borderId="0" xfId="147" applyNumberFormat="1" applyFont="1" applyFill="1" applyBorder="1" applyAlignment="1">
      <alignment/>
      <protection/>
    </xf>
    <xf numFmtId="0" fontId="26" fillId="0" borderId="0" xfId="147">
      <alignment/>
      <protection/>
    </xf>
    <xf numFmtId="0" fontId="0" fillId="0" borderId="0" xfId="147" applyFont="1" applyAlignment="1">
      <alignment horizontal="left"/>
      <protection/>
    </xf>
    <xf numFmtId="0" fontId="0" fillId="0" borderId="0" xfId="147" applyFont="1" applyBorder="1" applyAlignment="1">
      <alignment/>
      <protection/>
    </xf>
    <xf numFmtId="0" fontId="0" fillId="0" borderId="0" xfId="147" applyFont="1" applyBorder="1" applyAlignment="1">
      <alignment horizontal="left"/>
      <protection/>
    </xf>
    <xf numFmtId="0" fontId="26" fillId="0" borderId="0" xfId="147" applyFont="1">
      <alignment/>
      <protection/>
    </xf>
    <xf numFmtId="0" fontId="6" fillId="0" borderId="20" xfId="147" applyFont="1" applyBorder="1" applyAlignment="1">
      <alignment horizontal="center" vertical="center"/>
      <protection/>
    </xf>
    <xf numFmtId="0" fontId="6" fillId="47" borderId="20" xfId="147" applyFont="1" applyFill="1" applyBorder="1" applyAlignment="1">
      <alignment horizontal="left" vertical="center"/>
      <protection/>
    </xf>
    <xf numFmtId="9" fontId="26" fillId="0" borderId="0" xfId="154" applyFont="1" applyAlignment="1">
      <alignment vertical="center"/>
    </xf>
    <xf numFmtId="0" fontId="5" fillId="0" borderId="23" xfId="147" applyFont="1" applyBorder="1" applyAlignment="1">
      <alignment horizontal="center" vertical="center"/>
      <protection/>
    </xf>
    <xf numFmtId="0" fontId="26" fillId="0" borderId="0" xfId="147" applyFont="1" applyAlignment="1">
      <alignment vertical="center"/>
      <protection/>
    </xf>
    <xf numFmtId="0" fontId="1" fillId="0" borderId="0" xfId="147" applyFont="1">
      <alignment/>
      <protection/>
    </xf>
    <xf numFmtId="0" fontId="25" fillId="0" borderId="0" xfId="147" applyFont="1" applyBorder="1" applyAlignment="1">
      <alignment horizontal="center" wrapText="1"/>
      <protection/>
    </xf>
    <xf numFmtId="0" fontId="28" fillId="0" borderId="0" xfId="147" applyFont="1" applyBorder="1" applyAlignment="1">
      <alignment wrapText="1"/>
      <protection/>
    </xf>
    <xf numFmtId="0" fontId="25" fillId="0" borderId="0" xfId="147" applyNumberFormat="1" applyFont="1" applyBorder="1" applyAlignment="1">
      <alignment/>
      <protection/>
    </xf>
    <xf numFmtId="0" fontId="78" fillId="0" borderId="0" xfId="147" applyFont="1">
      <alignment/>
      <protection/>
    </xf>
    <xf numFmtId="0" fontId="25" fillId="0" borderId="0" xfId="147" applyNumberFormat="1" applyFont="1" applyBorder="1" applyAlignment="1">
      <alignment horizontal="center"/>
      <protection/>
    </xf>
    <xf numFmtId="0" fontId="5" fillId="0" borderId="0" xfId="147" applyFont="1">
      <alignment/>
      <protection/>
    </xf>
    <xf numFmtId="0" fontId="28" fillId="0" borderId="0" xfId="147" applyFont="1">
      <alignment/>
      <protection/>
    </xf>
    <xf numFmtId="0" fontId="25" fillId="0" borderId="0" xfId="145" applyFont="1" applyAlignment="1">
      <alignment/>
      <protection/>
    </xf>
    <xf numFmtId="49" fontId="19" fillId="0" borderId="0" xfId="147" applyNumberFormat="1" applyFont="1">
      <alignment/>
      <protection/>
    </xf>
    <xf numFmtId="49" fontId="4" fillId="47" borderId="0" xfId="147" applyNumberFormat="1" applyFont="1" applyFill="1" applyBorder="1" applyAlignment="1">
      <alignment horizontal="left"/>
      <protection/>
    </xf>
    <xf numFmtId="49" fontId="4" fillId="0" borderId="0" xfId="147" applyNumberFormat="1" applyFont="1" applyBorder="1" applyAlignment="1">
      <alignment horizontal="left"/>
      <protection/>
    </xf>
    <xf numFmtId="49" fontId="0" fillId="0" borderId="22" xfId="147" applyNumberFormat="1" applyFont="1" applyBorder="1" applyAlignment="1">
      <alignment/>
      <protection/>
    </xf>
    <xf numFmtId="49" fontId="6" fillId="0" borderId="20" xfId="147" applyNumberFormat="1" applyFont="1" applyFill="1" applyBorder="1" applyAlignment="1">
      <alignment horizontal="center" vertical="center" wrapText="1"/>
      <protection/>
    </xf>
    <xf numFmtId="49" fontId="5" fillId="0" borderId="24" xfId="147" applyNumberFormat="1" applyFont="1" applyFill="1" applyBorder="1">
      <alignment/>
      <protection/>
    </xf>
    <xf numFmtId="49" fontId="5" fillId="0" borderId="0" xfId="147" applyNumberFormat="1" applyFont="1" applyFill="1">
      <alignment/>
      <protection/>
    </xf>
    <xf numFmtId="49" fontId="24" fillId="0" borderId="0" xfId="147" applyNumberFormat="1" applyFont="1" applyFill="1">
      <alignment/>
      <protection/>
    </xf>
    <xf numFmtId="49" fontId="6" fillId="0" borderId="25" xfId="147" applyNumberFormat="1" applyFont="1" applyFill="1" applyBorder="1" applyAlignment="1">
      <alignment horizontal="center" vertical="center" wrapText="1"/>
      <protection/>
    </xf>
    <xf numFmtId="49" fontId="19" fillId="0" borderId="20" xfId="147" applyNumberFormat="1" applyFont="1" applyFill="1" applyBorder="1" applyAlignment="1">
      <alignment horizontal="center" vertical="center"/>
      <protection/>
    </xf>
    <xf numFmtId="49" fontId="19" fillId="0" borderId="20" xfId="147" applyNumberFormat="1" applyFont="1" applyBorder="1" applyAlignment="1">
      <alignment horizontal="center" vertical="center"/>
      <protection/>
    </xf>
    <xf numFmtId="49" fontId="5" fillId="0" borderId="0" xfId="147" applyNumberFormat="1" applyFont="1" applyAlignment="1">
      <alignment vertical="center"/>
      <protection/>
    </xf>
    <xf numFmtId="3" fontId="29" fillId="3" borderId="20" xfId="147" applyNumberFormat="1" applyFont="1" applyFill="1" applyBorder="1" applyAlignment="1">
      <alignment horizontal="center" vertical="center"/>
      <protection/>
    </xf>
    <xf numFmtId="3" fontId="68" fillId="3" borderId="20" xfId="147" applyNumberFormat="1" applyFont="1" applyFill="1" applyBorder="1" applyAlignment="1">
      <alignment horizontal="center" vertical="center"/>
      <protection/>
    </xf>
    <xf numFmtId="3" fontId="29" fillId="4" borderId="20" xfId="147" applyNumberFormat="1" applyFont="1" applyFill="1" applyBorder="1" applyAlignment="1">
      <alignment horizontal="center" vertical="center"/>
      <protection/>
    </xf>
    <xf numFmtId="3" fontId="6" fillId="44" borderId="20" xfId="147" applyNumberFormat="1" applyFont="1" applyFill="1" applyBorder="1" applyAlignment="1">
      <alignment horizontal="center" vertical="center"/>
      <protection/>
    </xf>
    <xf numFmtId="49" fontId="6" fillId="0" borderId="20" xfId="147" applyNumberFormat="1" applyFont="1" applyBorder="1" applyAlignment="1">
      <alignment horizontal="center" vertical="center"/>
      <protection/>
    </xf>
    <xf numFmtId="3" fontId="5" fillId="47" borderId="20" xfId="147" applyNumberFormat="1" applyFont="1" applyFill="1" applyBorder="1" applyAlignment="1">
      <alignment horizontal="center" vertical="center"/>
      <protection/>
    </xf>
    <xf numFmtId="49" fontId="6" fillId="0" borderId="23" xfId="147" applyNumberFormat="1" applyFont="1" applyBorder="1" applyAlignment="1">
      <alignment horizontal="center" vertical="center"/>
      <protection/>
    </xf>
    <xf numFmtId="49" fontId="5" fillId="0" borderId="23" xfId="147" applyNumberFormat="1" applyFont="1" applyBorder="1" applyAlignment="1">
      <alignment horizontal="center" vertical="center"/>
      <protection/>
    </xf>
    <xf numFmtId="3" fontId="5" fillId="0" borderId="20" xfId="147" applyNumberFormat="1" applyFont="1" applyBorder="1" applyAlignment="1">
      <alignment horizontal="center" vertical="center"/>
      <protection/>
    </xf>
    <xf numFmtId="49" fontId="86" fillId="0" borderId="0" xfId="147" applyNumberFormat="1" applyFont="1">
      <alignment/>
      <protection/>
    </xf>
    <xf numFmtId="49" fontId="26" fillId="0" borderId="0" xfId="147" applyNumberFormat="1">
      <alignment/>
      <protection/>
    </xf>
    <xf numFmtId="49" fontId="28" fillId="0" borderId="0" xfId="147" applyNumberFormat="1" applyFont="1" applyBorder="1" applyAlignment="1">
      <alignment wrapText="1"/>
      <protection/>
    </xf>
    <xf numFmtId="49" fontId="21" fillId="0" borderId="0" xfId="147" applyNumberFormat="1" applyFont="1">
      <alignment/>
      <protection/>
    </xf>
    <xf numFmtId="49" fontId="30" fillId="0" borderId="0" xfId="147" applyNumberFormat="1" applyFont="1">
      <alignment/>
      <protection/>
    </xf>
    <xf numFmtId="49" fontId="30" fillId="0" borderId="0" xfId="147" applyNumberFormat="1" applyFont="1" applyAlignment="1">
      <alignment horizontal="center"/>
      <protection/>
    </xf>
    <xf numFmtId="0" fontId="4" fillId="0" borderId="0" xfId="147" applyNumberFormat="1" applyFont="1" applyAlignment="1">
      <alignment horizontal="left"/>
      <protection/>
    </xf>
    <xf numFmtId="0" fontId="5" fillId="0" borderId="0" xfId="147" applyFont="1" applyAlignment="1">
      <alignment/>
      <protection/>
    </xf>
    <xf numFmtId="3" fontId="5" fillId="0" borderId="0" xfId="147" applyNumberFormat="1" applyFont="1">
      <alignment/>
      <protection/>
    </xf>
    <xf numFmtId="0" fontId="7" fillId="0" borderId="0" xfId="147" applyFont="1" applyBorder="1" applyAlignment="1">
      <alignment/>
      <protection/>
    </xf>
    <xf numFmtId="0" fontId="26" fillId="0" borderId="24" xfId="147" applyFont="1" applyBorder="1">
      <alignment/>
      <protection/>
    </xf>
    <xf numFmtId="0" fontId="26" fillId="0" borderId="0" xfId="147" applyFont="1" applyBorder="1">
      <alignment/>
      <protection/>
    </xf>
    <xf numFmtId="0" fontId="12" fillId="0" borderId="20" xfId="147" applyFont="1" applyBorder="1" applyAlignment="1">
      <alignment horizontal="center" vertical="center" wrapText="1"/>
      <protection/>
    </xf>
    <xf numFmtId="0" fontId="19" fillId="0" borderId="23" xfId="147" applyFont="1" applyFill="1" applyBorder="1" applyAlignment="1">
      <alignment horizontal="center" vertical="center"/>
      <protection/>
    </xf>
    <xf numFmtId="0" fontId="19" fillId="0" borderId="20" xfId="147" applyFont="1" applyFill="1" applyBorder="1" applyAlignment="1">
      <alignment horizontal="center" vertical="center"/>
      <protection/>
    </xf>
    <xf numFmtId="0" fontId="19" fillId="0" borderId="20" xfId="147" applyFont="1" applyBorder="1" applyAlignment="1">
      <alignment horizontal="center" vertical="center"/>
      <protection/>
    </xf>
    <xf numFmtId="3" fontId="20" fillId="3" borderId="20" xfId="147" applyNumberFormat="1" applyFont="1" applyFill="1" applyBorder="1" applyAlignment="1">
      <alignment horizontal="center" vertical="center"/>
      <protection/>
    </xf>
    <xf numFmtId="3" fontId="34" fillId="3" borderId="20" xfId="147" applyNumberFormat="1" applyFont="1" applyFill="1" applyBorder="1" applyAlignment="1">
      <alignment horizontal="center" vertical="center"/>
      <protection/>
    </xf>
    <xf numFmtId="3" fontId="3" fillId="44" borderId="23" xfId="147" applyNumberFormat="1" applyFont="1" applyFill="1" applyBorder="1" applyAlignment="1">
      <alignment horizontal="center" vertical="center"/>
      <protection/>
    </xf>
    <xf numFmtId="3" fontId="0" fillId="48" borderId="23" xfId="147" applyNumberFormat="1" applyFont="1" applyFill="1" applyBorder="1" applyAlignment="1">
      <alignment horizontal="center" vertical="center"/>
      <protection/>
    </xf>
    <xf numFmtId="3" fontId="0" fillId="0" borderId="20" xfId="147" applyNumberFormat="1" applyFont="1" applyBorder="1" applyAlignment="1">
      <alignment horizontal="center" vertical="center"/>
      <protection/>
    </xf>
    <xf numFmtId="3" fontId="0" fillId="0" borderId="26" xfId="147" applyNumberFormat="1" applyFont="1" applyBorder="1" applyAlignment="1">
      <alignment horizontal="center" vertical="center"/>
      <protection/>
    </xf>
    <xf numFmtId="0" fontId="6" fillId="0" borderId="23" xfId="147" applyFont="1" applyBorder="1" applyAlignment="1">
      <alignment horizontal="center" vertical="center"/>
      <protection/>
    </xf>
    <xf numFmtId="3" fontId="0" fillId="44" borderId="23" xfId="147" applyNumberFormat="1" applyFont="1" applyFill="1" applyBorder="1" applyAlignment="1">
      <alignment horizontal="center" vertical="center"/>
      <protection/>
    </xf>
    <xf numFmtId="3" fontId="0" fillId="47" borderId="20" xfId="147" applyNumberFormat="1" applyFont="1" applyFill="1" applyBorder="1" applyAlignment="1">
      <alignment horizontal="center" vertical="center"/>
      <protection/>
    </xf>
    <xf numFmtId="3" fontId="0" fillId="47" borderId="26" xfId="147" applyNumberFormat="1" applyFont="1" applyFill="1" applyBorder="1" applyAlignment="1">
      <alignment horizontal="center" vertical="center"/>
      <protection/>
    </xf>
    <xf numFmtId="0" fontId="28" fillId="0" borderId="0" xfId="147" applyNumberFormat="1" applyFont="1" applyBorder="1" applyAlignment="1">
      <alignment/>
      <protection/>
    </xf>
    <xf numFmtId="0" fontId="87" fillId="0" borderId="0" xfId="147" applyFont="1">
      <alignment/>
      <protection/>
    </xf>
    <xf numFmtId="0" fontId="16" fillId="0" borderId="0" xfId="147" applyFont="1">
      <alignment/>
      <protection/>
    </xf>
    <xf numFmtId="0" fontId="27" fillId="0" borderId="0" xfId="147" applyFont="1">
      <alignment/>
      <protection/>
    </xf>
    <xf numFmtId="0" fontId="13" fillId="0" borderId="0" xfId="147" applyFont="1">
      <alignment/>
      <protection/>
    </xf>
    <xf numFmtId="49" fontId="13" fillId="0" borderId="0" xfId="147" applyNumberFormat="1" applyFont="1">
      <alignment/>
      <protection/>
    </xf>
    <xf numFmtId="0" fontId="80" fillId="0" borderId="0" xfId="147" applyFont="1">
      <alignment/>
      <protection/>
    </xf>
    <xf numFmtId="49" fontId="18" fillId="0" borderId="0" xfId="147" applyNumberFormat="1" applyFont="1" applyBorder="1" applyAlignment="1">
      <alignment/>
      <protection/>
    </xf>
    <xf numFmtId="49" fontId="26" fillId="0" borderId="0" xfId="147" applyNumberFormat="1" applyFont="1" applyAlignment="1">
      <alignment horizontal="center"/>
      <protection/>
    </xf>
    <xf numFmtId="3" fontId="19" fillId="47" borderId="22" xfId="147" applyNumberFormat="1" applyFont="1" applyFill="1" applyBorder="1" applyAlignment="1">
      <alignment horizontal="center"/>
      <protection/>
    </xf>
    <xf numFmtId="49" fontId="5" fillId="0" borderId="22" xfId="147" applyNumberFormat="1" applyFont="1" applyBorder="1" applyAlignment="1">
      <alignment/>
      <protection/>
    </xf>
    <xf numFmtId="49" fontId="26" fillId="0" borderId="0" xfId="147" applyNumberFormat="1" applyFill="1">
      <alignment/>
      <protection/>
    </xf>
    <xf numFmtId="49" fontId="26" fillId="0" borderId="0" xfId="147" applyNumberFormat="1" applyFill="1" applyAlignment="1">
      <alignment vertical="center" wrapText="1"/>
      <protection/>
    </xf>
    <xf numFmtId="49" fontId="26" fillId="0" borderId="0" xfId="147" applyNumberFormat="1" applyAlignment="1">
      <alignment vertical="center"/>
      <protection/>
    </xf>
    <xf numFmtId="3" fontId="5" fillId="44" borderId="20" xfId="147" applyNumberFormat="1" applyFont="1" applyFill="1" applyBorder="1" applyAlignment="1">
      <alignment horizontal="center" vertical="center"/>
      <protection/>
    </xf>
    <xf numFmtId="3" fontId="26" fillId="0" borderId="20" xfId="147" applyNumberFormat="1" applyFont="1" applyBorder="1" applyAlignment="1">
      <alignment horizontal="center" vertical="center"/>
      <protection/>
    </xf>
    <xf numFmtId="0" fontId="5" fillId="0" borderId="20" xfId="147" applyFont="1" applyBorder="1" applyAlignment="1">
      <alignment horizontal="center" vertical="center"/>
      <protection/>
    </xf>
    <xf numFmtId="3" fontId="5" fillId="0" borderId="20" xfId="147" applyNumberFormat="1" applyFont="1" applyFill="1" applyBorder="1" applyAlignment="1">
      <alignment horizontal="center" vertical="center"/>
      <protection/>
    </xf>
    <xf numFmtId="3" fontId="26" fillId="0" borderId="20" xfId="147" applyNumberFormat="1" applyFont="1" applyFill="1" applyBorder="1" applyAlignment="1">
      <alignment horizontal="center" vertical="center"/>
      <protection/>
    </xf>
    <xf numFmtId="49" fontId="26" fillId="0" borderId="0" xfId="147" applyNumberFormat="1" applyAlignment="1">
      <alignment horizontal="center"/>
      <protection/>
    </xf>
    <xf numFmtId="49" fontId="71" fillId="0" borderId="0" xfId="147" applyNumberFormat="1" applyFont="1" applyAlignment="1">
      <alignment horizontal="left"/>
      <protection/>
    </xf>
    <xf numFmtId="49" fontId="30" fillId="0" borderId="0" xfId="147" applyNumberFormat="1" applyFont="1" applyAlignment="1">
      <alignment/>
      <protection/>
    </xf>
    <xf numFmtId="49" fontId="3" fillId="47" borderId="0" xfId="147" applyNumberFormat="1" applyFont="1" applyFill="1" applyBorder="1" applyAlignment="1">
      <alignment/>
      <protection/>
    </xf>
    <xf numFmtId="49" fontId="3" fillId="0" borderId="0" xfId="147" applyNumberFormat="1" applyFont="1" applyAlignment="1">
      <alignment/>
      <protection/>
    </xf>
    <xf numFmtId="49" fontId="3" fillId="0" borderId="0" xfId="147" applyNumberFormat="1" applyFont="1" applyBorder="1" applyAlignment="1">
      <alignment/>
      <protection/>
    </xf>
    <xf numFmtId="49" fontId="6" fillId="0" borderId="22" xfId="147" applyNumberFormat="1" applyFont="1" applyBorder="1" applyAlignment="1">
      <alignment/>
      <protection/>
    </xf>
    <xf numFmtId="3" fontId="19" fillId="0" borderId="20" xfId="147" applyNumberFormat="1" applyFont="1" applyBorder="1" applyAlignment="1">
      <alignment horizontal="center" vertical="center"/>
      <protection/>
    </xf>
    <xf numFmtId="49" fontId="26" fillId="47" borderId="0" xfId="147" applyNumberFormat="1" applyFont="1" applyFill="1" applyAlignment="1">
      <alignment vertical="center"/>
      <protection/>
    </xf>
    <xf numFmtId="3" fontId="26" fillId="47" borderId="20" xfId="147" applyNumberFormat="1" applyFont="1" applyFill="1" applyBorder="1" applyAlignment="1">
      <alignment horizontal="center" vertical="center"/>
      <protection/>
    </xf>
    <xf numFmtId="3" fontId="90" fillId="0" borderId="20" xfId="147" applyNumberFormat="1" applyFont="1" applyBorder="1" applyAlignment="1">
      <alignment horizontal="center" vertical="center"/>
      <protection/>
    </xf>
    <xf numFmtId="0" fontId="5" fillId="0" borderId="19" xfId="147" applyFont="1" applyFill="1" applyBorder="1" applyAlignment="1">
      <alignment horizontal="center" vertical="center"/>
      <protection/>
    </xf>
    <xf numFmtId="49" fontId="6" fillId="0" borderId="19" xfId="145" applyNumberFormat="1" applyFont="1" applyFill="1" applyBorder="1" applyAlignment="1">
      <alignment horizontal="left" vertical="center"/>
      <protection/>
    </xf>
    <xf numFmtId="3" fontId="5" fillId="0" borderId="19" xfId="147" applyNumberFormat="1" applyFont="1" applyFill="1" applyBorder="1" applyAlignment="1">
      <alignment horizontal="center" vertical="center"/>
      <protection/>
    </xf>
    <xf numFmtId="3" fontId="19" fillId="0" borderId="19" xfId="147" applyNumberFormat="1" applyFont="1" applyFill="1" applyBorder="1" applyAlignment="1">
      <alignment horizontal="center" vertical="center"/>
      <protection/>
    </xf>
    <xf numFmtId="3" fontId="26" fillId="0" borderId="19" xfId="147" applyNumberFormat="1" applyFont="1" applyFill="1" applyBorder="1" applyAlignment="1">
      <alignment vertical="center"/>
      <protection/>
    </xf>
    <xf numFmtId="3" fontId="91" fillId="0" borderId="19" xfId="147" applyNumberFormat="1" applyFont="1" applyFill="1" applyBorder="1" applyAlignment="1">
      <alignment vertical="center"/>
      <protection/>
    </xf>
    <xf numFmtId="49" fontId="30" fillId="0" borderId="0" xfId="147" applyNumberFormat="1" applyFont="1" applyBorder="1" applyAlignment="1">
      <alignment/>
      <protection/>
    </xf>
    <xf numFmtId="49" fontId="28" fillId="0" borderId="0" xfId="147" applyNumberFormat="1" applyFont="1" applyBorder="1" applyAlignment="1">
      <alignment horizontal="center"/>
      <protection/>
    </xf>
    <xf numFmtId="49" fontId="28" fillId="0" borderId="0" xfId="147" applyNumberFormat="1" applyFont="1" applyAlignment="1">
      <alignment/>
      <protection/>
    </xf>
    <xf numFmtId="0" fontId="5" fillId="47" borderId="0" xfId="147" applyFont="1" applyFill="1" applyBorder="1" applyAlignment="1">
      <alignment/>
      <protection/>
    </xf>
    <xf numFmtId="49" fontId="92" fillId="0" borderId="0" xfId="147" applyNumberFormat="1" applyFont="1">
      <alignment/>
      <protection/>
    </xf>
    <xf numFmtId="49" fontId="93" fillId="0" borderId="0" xfId="147" applyNumberFormat="1" applyFont="1">
      <alignment/>
      <protection/>
    </xf>
    <xf numFmtId="49" fontId="94" fillId="0" borderId="0" xfId="147" applyNumberFormat="1" applyFont="1" applyAlignment="1">
      <alignment horizontal="center"/>
      <protection/>
    </xf>
    <xf numFmtId="49" fontId="25" fillId="47" borderId="0" xfId="145" applyNumberFormat="1" applyFont="1" applyFill="1" applyAlignment="1">
      <alignment/>
      <protection/>
    </xf>
    <xf numFmtId="49" fontId="79" fillId="0" borderId="0" xfId="147" applyNumberFormat="1" applyFont="1">
      <alignment/>
      <protection/>
    </xf>
    <xf numFmtId="49" fontId="30" fillId="0" borderId="0" xfId="147" applyNumberFormat="1" applyFont="1" applyBorder="1" applyAlignment="1">
      <alignment wrapText="1"/>
      <protection/>
    </xf>
    <xf numFmtId="49" fontId="82" fillId="0" borderId="0" xfId="147" applyNumberFormat="1" applyFont="1">
      <alignment/>
      <protection/>
    </xf>
    <xf numFmtId="49" fontId="77" fillId="0" borderId="0" xfId="147" applyNumberFormat="1" applyFont="1">
      <alignment/>
      <protection/>
    </xf>
    <xf numFmtId="49" fontId="14" fillId="0" borderId="0" xfId="147" applyNumberFormat="1" applyFont="1" applyFill="1" applyAlignment="1">
      <alignment wrapText="1"/>
      <protection/>
    </xf>
    <xf numFmtId="49" fontId="0" fillId="0" borderId="0" xfId="147" applyNumberFormat="1" applyFont="1" applyFill="1" applyBorder="1" applyAlignment="1">
      <alignment/>
      <protection/>
    </xf>
    <xf numFmtId="49" fontId="3" fillId="0" borderId="0" xfId="147" applyNumberFormat="1" applyFont="1" applyFill="1" applyBorder="1" applyAlignment="1">
      <alignment/>
      <protection/>
    </xf>
    <xf numFmtId="49" fontId="95" fillId="0" borderId="0" xfId="147" applyNumberFormat="1" applyFont="1" applyFill="1">
      <alignment/>
      <protection/>
    </xf>
    <xf numFmtId="49" fontId="26" fillId="0" borderId="0" xfId="147" applyNumberFormat="1" applyFont="1" applyFill="1" applyAlignment="1">
      <alignment horizontal="center"/>
      <protection/>
    </xf>
    <xf numFmtId="49" fontId="19" fillId="0" borderId="0" xfId="147" applyNumberFormat="1" applyFont="1" applyFill="1" applyBorder="1" applyAlignment="1">
      <alignment/>
      <protection/>
    </xf>
    <xf numFmtId="49" fontId="6" fillId="0" borderId="0" xfId="147" applyNumberFormat="1" applyFont="1" applyFill="1" applyBorder="1" applyAlignment="1">
      <alignment/>
      <protection/>
    </xf>
    <xf numFmtId="49" fontId="81" fillId="0" borderId="0" xfId="147" applyNumberFormat="1" applyFont="1" applyFill="1">
      <alignment/>
      <protection/>
    </xf>
    <xf numFmtId="49" fontId="81" fillId="0" borderId="0" xfId="147" applyNumberFormat="1" applyFont="1" applyFill="1" applyAlignment="1">
      <alignment/>
      <protection/>
    </xf>
    <xf numFmtId="49" fontId="19" fillId="0" borderId="27" xfId="147" applyNumberFormat="1" applyFont="1" applyFill="1" applyBorder="1" applyAlignment="1">
      <alignment horizontal="center" vertical="center"/>
      <protection/>
    </xf>
    <xf numFmtId="3" fontId="6" fillId="44" borderId="27" xfId="147" applyNumberFormat="1" applyFont="1" applyFill="1" applyBorder="1" applyAlignment="1">
      <alignment horizontal="center" vertical="center"/>
      <protection/>
    </xf>
    <xf numFmtId="3" fontId="6" fillId="44" borderId="23" xfId="147" applyNumberFormat="1" applyFont="1" applyFill="1" applyBorder="1" applyAlignment="1">
      <alignment horizontal="center" vertical="center"/>
      <protection/>
    </xf>
    <xf numFmtId="49" fontId="3" fillId="0" borderId="0" xfId="147" applyNumberFormat="1" applyFont="1" applyAlignment="1">
      <alignment horizontal="center"/>
      <protection/>
    </xf>
    <xf numFmtId="49" fontId="25" fillId="0" borderId="0" xfId="147" applyNumberFormat="1" applyFont="1">
      <alignment/>
      <protection/>
    </xf>
    <xf numFmtId="49" fontId="3" fillId="0" borderId="0" xfId="147" applyNumberFormat="1" applyFont="1">
      <alignment/>
      <protection/>
    </xf>
    <xf numFmtId="49" fontId="28" fillId="0" borderId="0" xfId="147" applyNumberFormat="1" applyFont="1">
      <alignment/>
      <protection/>
    </xf>
    <xf numFmtId="3" fontId="3" fillId="47" borderId="0" xfId="147" applyNumberFormat="1" applyFont="1" applyFill="1" applyBorder="1" applyAlignment="1">
      <alignment/>
      <protection/>
    </xf>
    <xf numFmtId="0" fontId="3" fillId="0" borderId="0" xfId="147" applyFont="1">
      <alignment/>
      <protection/>
    </xf>
    <xf numFmtId="0" fontId="4" fillId="0" borderId="0" xfId="147" applyFont="1" applyBorder="1" applyAlignment="1">
      <alignment horizontal="left"/>
      <protection/>
    </xf>
    <xf numFmtId="3" fontId="0" fillId="0" borderId="0" xfId="147" applyNumberFormat="1" applyFont="1" applyAlignment="1">
      <alignment horizontal="left"/>
      <protection/>
    </xf>
    <xf numFmtId="0" fontId="13" fillId="0" borderId="0" xfId="147" applyFont="1" applyBorder="1" applyAlignment="1">
      <alignment/>
      <protection/>
    </xf>
    <xf numFmtId="0" fontId="7" fillId="0" borderId="20" xfId="147" applyFont="1" applyFill="1" applyBorder="1" applyAlignment="1">
      <alignment horizontal="center" vertical="center" wrapText="1"/>
      <protection/>
    </xf>
    <xf numFmtId="0" fontId="3" fillId="0" borderId="0" xfId="147" applyFont="1" applyFill="1" applyBorder="1">
      <alignment/>
      <protection/>
    </xf>
    <xf numFmtId="0" fontId="3" fillId="0" borderId="0" xfId="147" applyFont="1" applyFill="1">
      <alignment/>
      <protection/>
    </xf>
    <xf numFmtId="3" fontId="18" fillId="0" borderId="20" xfId="147" applyNumberFormat="1" applyFont="1" applyBorder="1" applyAlignment="1">
      <alignment horizontal="center" vertical="center"/>
      <protection/>
    </xf>
    <xf numFmtId="0" fontId="0" fillId="0" borderId="0" xfId="147" applyFont="1" applyAlignment="1">
      <alignment horizontal="center" vertical="center"/>
      <protection/>
    </xf>
    <xf numFmtId="3" fontId="4" fillId="44" borderId="20" xfId="147" applyNumberFormat="1" applyFont="1" applyFill="1" applyBorder="1" applyAlignment="1">
      <alignment horizontal="center" vertical="center"/>
      <protection/>
    </xf>
    <xf numFmtId="0" fontId="3" fillId="0" borderId="0" xfId="147" applyFont="1" applyAlignment="1">
      <alignment vertical="center"/>
      <protection/>
    </xf>
    <xf numFmtId="9" fontId="3" fillId="0" borderId="0" xfId="154" applyFont="1" applyAlignment="1">
      <alignment vertical="center"/>
    </xf>
    <xf numFmtId="0" fontId="3" fillId="0" borderId="0" xfId="147" applyFont="1" applyAlignment="1">
      <alignment horizontal="center"/>
      <protection/>
    </xf>
    <xf numFmtId="0" fontId="25" fillId="0" borderId="0" xfId="147" applyFont="1">
      <alignment/>
      <protection/>
    </xf>
    <xf numFmtId="0" fontId="71" fillId="0" borderId="0" xfId="147" applyFont="1" applyAlignment="1">
      <alignment horizontal="center"/>
      <protection/>
    </xf>
    <xf numFmtId="49" fontId="51" fillId="0" borderId="0" xfId="147" applyNumberFormat="1" applyFont="1">
      <alignment/>
      <protection/>
    </xf>
    <xf numFmtId="49" fontId="96" fillId="0" borderId="0" xfId="147" applyNumberFormat="1" applyFont="1" applyBorder="1" applyAlignment="1">
      <alignment wrapText="1"/>
      <protection/>
    </xf>
    <xf numFmtId="0" fontId="30" fillId="0" borderId="0" xfId="147"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3"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3"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3"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43"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43"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43" applyNumberFormat="1" applyFont="1" applyFill="1" applyBorder="1" applyAlignment="1" applyProtection="1">
      <alignment horizontal="center" vertical="center"/>
      <protection/>
    </xf>
    <xf numFmtId="10" fontId="28" fillId="0" borderId="20" xfId="135" applyNumberFormat="1" applyFont="1" applyFill="1" applyBorder="1" applyAlignment="1">
      <alignment horizontal="center" vertical="center"/>
      <protection/>
    </xf>
    <xf numFmtId="10" fontId="51" fillId="0" borderId="20" xfId="135"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5" applyNumberFormat="1" applyFont="1" applyFill="1" applyBorder="1" applyAlignment="1">
      <alignment horizontal="center" vertical="center"/>
      <protection/>
    </xf>
    <xf numFmtId="3" fontId="56" fillId="47" borderId="20" xfId="143"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43" applyNumberFormat="1" applyFont="1" applyFill="1" applyBorder="1" applyAlignment="1" applyProtection="1">
      <alignment horizontal="center" vertical="center"/>
      <protection/>
    </xf>
    <xf numFmtId="10" fontId="56" fillId="0" borderId="36" xfId="135"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3" applyNumberFormat="1" applyFont="1" applyFill="1" applyBorder="1" applyAlignment="1" applyProtection="1">
      <alignment horizontal="center" vertical="center"/>
      <protection/>
    </xf>
    <xf numFmtId="3" fontId="4" fillId="47" borderId="37" xfId="143"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160" fillId="49" borderId="20" xfId="0" applyFont="1" applyFill="1" applyBorder="1" applyAlignment="1">
      <alignment/>
    </xf>
    <xf numFmtId="0" fontId="0" fillId="49" borderId="38" xfId="0" applyFont="1" applyFill="1" applyBorder="1" applyAlignment="1">
      <alignment/>
    </xf>
    <xf numFmtId="49" fontId="0" fillId="50" borderId="0" xfId="0" applyNumberFormat="1" applyFont="1" applyFill="1" applyAlignment="1">
      <alignment/>
    </xf>
    <xf numFmtId="49" fontId="0" fillId="50" borderId="0" xfId="0" applyNumberFormat="1" applyFont="1" applyFill="1" applyAlignment="1">
      <alignment/>
    </xf>
    <xf numFmtId="49" fontId="8" fillId="50" borderId="0" xfId="0" applyNumberFormat="1" applyFont="1" applyFill="1" applyAlignment="1">
      <alignment/>
    </xf>
    <xf numFmtId="0" fontId="0" fillId="50" borderId="0" xfId="0" applyNumberFormat="1" applyFont="1" applyFill="1" applyAlignment="1">
      <alignment/>
    </xf>
    <xf numFmtId="49" fontId="13" fillId="0" borderId="0" xfId="0" applyNumberFormat="1" applyFont="1" applyFill="1" applyAlignment="1">
      <alignment/>
    </xf>
    <xf numFmtId="49" fontId="28" fillId="0" borderId="0" xfId="0" applyNumberFormat="1" applyFont="1" applyFill="1" applyAlignment="1">
      <alignment/>
    </xf>
    <xf numFmtId="0" fontId="25" fillId="0" borderId="0" xfId="0" applyNumberFormat="1" applyFont="1" applyFill="1" applyAlignment="1">
      <alignment/>
    </xf>
    <xf numFmtId="49" fontId="101"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2" fillId="0" borderId="0" xfId="0" applyNumberFormat="1" applyFont="1" applyFill="1" applyBorder="1" applyAlignment="1">
      <alignment/>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ill="1" applyBorder="1" applyAlignment="1">
      <alignment/>
    </xf>
    <xf numFmtId="0" fontId="5" fillId="0" borderId="0" xfId="144" applyNumberFormat="1" applyFont="1" applyFill="1" applyBorder="1" applyAlignment="1" applyProtection="1">
      <alignment horizontal="center" vertical="center"/>
      <protection/>
    </xf>
    <xf numFmtId="49" fontId="4" fillId="50" borderId="0" xfId="0" applyNumberFormat="1" applyFont="1" applyFill="1" applyAlignment="1">
      <alignment wrapText="1"/>
    </xf>
    <xf numFmtId="49" fontId="4" fillId="50" borderId="0" xfId="0" applyNumberFormat="1" applyFont="1" applyFill="1" applyAlignment="1">
      <alignment/>
    </xf>
    <xf numFmtId="49" fontId="7" fillId="50" borderId="0" xfId="0" applyNumberFormat="1" applyFont="1" applyFill="1" applyAlignment="1">
      <alignment/>
    </xf>
    <xf numFmtId="49" fontId="14" fillId="50" borderId="0" xfId="0" applyNumberFormat="1" applyFont="1" applyFill="1" applyBorder="1" applyAlignment="1">
      <alignment horizontal="center" wrapText="1"/>
    </xf>
    <xf numFmtId="49" fontId="3" fillId="50" borderId="0" xfId="0" applyNumberFormat="1" applyFont="1" applyFill="1" applyBorder="1" applyAlignment="1">
      <alignment/>
    </xf>
    <xf numFmtId="49" fontId="15" fillId="50" borderId="0" xfId="0" applyNumberFormat="1" applyFont="1" applyFill="1" applyBorder="1" applyAlignment="1">
      <alignment horizontal="center" wrapText="1"/>
    </xf>
    <xf numFmtId="49" fontId="15" fillId="50" borderId="19" xfId="0" applyNumberFormat="1" applyFont="1" applyFill="1" applyBorder="1" applyAlignment="1">
      <alignment wrapText="1"/>
    </xf>
    <xf numFmtId="194" fontId="29" fillId="0" borderId="0" xfId="0" applyNumberFormat="1" applyFont="1" applyBorder="1" applyAlignment="1">
      <alignment horizontal="center" vertical="center"/>
    </xf>
    <xf numFmtId="210" fontId="161" fillId="47" borderId="0" xfId="0" applyNumberFormat="1" applyFont="1" applyFill="1" applyBorder="1" applyAlignment="1">
      <alignment horizontal="center" vertical="center"/>
    </xf>
    <xf numFmtId="49" fontId="162" fillId="50" borderId="0" xfId="0" applyNumberFormat="1" applyFont="1" applyFill="1" applyBorder="1" applyAlignment="1" applyProtection="1">
      <alignment horizontal="center" vertical="center"/>
      <protection/>
    </xf>
    <xf numFmtId="49" fontId="162" fillId="50" borderId="20" xfId="0" applyNumberFormat="1" applyFont="1" applyFill="1" applyBorder="1" applyAlignment="1" applyProtection="1">
      <alignment horizontal="center" vertical="center"/>
      <protection/>
    </xf>
    <xf numFmtId="49" fontId="3" fillId="50" borderId="0" xfId="0" applyNumberFormat="1" applyFont="1" applyFill="1" applyAlignment="1">
      <alignment/>
    </xf>
    <xf numFmtId="49" fontId="0" fillId="50" borderId="0" xfId="0" applyNumberFormat="1" applyFont="1" applyFill="1" applyAlignment="1">
      <alignment horizontal="center"/>
    </xf>
    <xf numFmtId="194" fontId="160" fillId="50" borderId="0" xfId="0" applyNumberFormat="1" applyFont="1" applyFill="1" applyAlignment="1">
      <alignment/>
    </xf>
    <xf numFmtId="0" fontId="14" fillId="50" borderId="0" xfId="0" applyNumberFormat="1" applyFont="1" applyFill="1" applyBorder="1" applyAlignment="1">
      <alignment horizontal="center" wrapText="1"/>
    </xf>
    <xf numFmtId="0" fontId="0" fillId="50" borderId="0" xfId="0" applyNumberFormat="1" applyFont="1" applyFill="1" applyAlignment="1">
      <alignment/>
    </xf>
    <xf numFmtId="0" fontId="4" fillId="50" borderId="0" xfId="0" applyNumberFormat="1" applyFont="1" applyFill="1" applyAlignment="1">
      <alignment wrapText="1"/>
    </xf>
    <xf numFmtId="49" fontId="5" fillId="50" borderId="20" xfId="0" applyNumberFormat="1" applyFont="1" applyFill="1" applyBorder="1" applyAlignment="1" applyProtection="1">
      <alignment vertical="center"/>
      <protection/>
    </xf>
    <xf numFmtId="43" fontId="0" fillId="0" borderId="0" xfId="0" applyNumberFormat="1" applyAlignment="1">
      <alignment/>
    </xf>
    <xf numFmtId="3" fontId="163" fillId="0" borderId="0" xfId="0" applyNumberFormat="1" applyFont="1" applyFill="1" applyAlignment="1">
      <alignment wrapText="1"/>
    </xf>
    <xf numFmtId="0" fontId="163" fillId="0" borderId="0" xfId="0" applyNumberFormat="1" applyFont="1" applyFill="1" applyAlignment="1">
      <alignment/>
    </xf>
    <xf numFmtId="3" fontId="163" fillId="0" borderId="0" xfId="0" applyNumberFormat="1" applyFont="1" applyFill="1" applyAlignment="1">
      <alignment/>
    </xf>
    <xf numFmtId="0" fontId="164" fillId="0" borderId="0" xfId="0" applyNumberFormat="1" applyFont="1" applyFill="1" applyAlignment="1">
      <alignment horizontal="center"/>
    </xf>
    <xf numFmtId="0" fontId="100" fillId="0" borderId="0" xfId="0" applyNumberFormat="1" applyFont="1" applyFill="1" applyAlignment="1">
      <alignment/>
    </xf>
    <xf numFmtId="0" fontId="165" fillId="0" borderId="0" xfId="0" applyNumberFormat="1" applyFont="1" applyFill="1" applyAlignment="1">
      <alignment horizontal="center"/>
    </xf>
    <xf numFmtId="3" fontId="160" fillId="0" borderId="0" xfId="0" applyNumberFormat="1" applyFont="1" applyFill="1" applyAlignment="1">
      <alignment/>
    </xf>
    <xf numFmtId="3" fontId="28" fillId="0" borderId="0" xfId="0" applyNumberFormat="1" applyFont="1" applyFill="1" applyBorder="1" applyAlignment="1">
      <alignment horizontal="center" wrapText="1"/>
    </xf>
    <xf numFmtId="3" fontId="0" fillId="0" borderId="20" xfId="0" applyNumberFormat="1" applyFont="1" applyFill="1" applyBorder="1" applyAlignment="1">
      <alignment/>
    </xf>
    <xf numFmtId="3" fontId="0" fillId="0" borderId="0" xfId="0" applyNumberFormat="1" applyFont="1" applyFill="1" applyAlignment="1">
      <alignment/>
    </xf>
    <xf numFmtId="0" fontId="7" fillId="0" borderId="0" xfId="0" applyNumberFormat="1" applyFont="1" applyFill="1" applyBorder="1" applyAlignment="1">
      <alignment horizontal="left" wrapText="1"/>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105" fillId="0" borderId="20" xfId="0" applyNumberFormat="1" applyFont="1" applyFill="1" applyBorder="1" applyAlignment="1" applyProtection="1">
      <alignment horizontal="center" vertical="center" wrapText="1"/>
      <protection/>
    </xf>
    <xf numFmtId="49" fontId="105" fillId="0" borderId="20" xfId="0" applyNumberFormat="1" applyFont="1" applyFill="1" applyBorder="1" applyAlignment="1">
      <alignment horizontal="center" vertical="center" wrapText="1"/>
    </xf>
    <xf numFmtId="49" fontId="107" fillId="0" borderId="20" xfId="0" applyNumberFormat="1" applyFont="1" applyFill="1" applyBorder="1" applyAlignment="1" applyProtection="1">
      <alignment horizontal="center" vertical="center"/>
      <protection/>
    </xf>
    <xf numFmtId="49" fontId="107" fillId="0" borderId="26" xfId="0" applyNumberFormat="1" applyFont="1" applyFill="1" applyBorder="1" applyAlignment="1" applyProtection="1">
      <alignment horizontal="center" vertical="center"/>
      <protection/>
    </xf>
    <xf numFmtId="194" fontId="103" fillId="50" borderId="20" xfId="0" applyNumberFormat="1" applyFont="1" applyFill="1" applyBorder="1" applyAlignment="1" applyProtection="1">
      <alignment horizontal="right" vertical="center"/>
      <protection/>
    </xf>
    <xf numFmtId="194" fontId="166" fillId="50" borderId="20" xfId="0" applyNumberFormat="1" applyFont="1" applyFill="1" applyBorder="1" applyAlignment="1">
      <alignment horizontal="right"/>
    </xf>
    <xf numFmtId="49" fontId="100" fillId="0" borderId="20" xfId="0" applyNumberFormat="1" applyFont="1" applyFill="1" applyBorder="1" applyAlignment="1" applyProtection="1">
      <alignment horizontal="center" vertical="center" wrapText="1"/>
      <protection/>
    </xf>
    <xf numFmtId="49" fontId="100" fillId="0" borderId="20" xfId="0" applyNumberFormat="1" applyFont="1" applyFill="1" applyBorder="1" applyAlignment="1">
      <alignment horizontal="center" vertical="center" wrapText="1"/>
    </xf>
    <xf numFmtId="49" fontId="100" fillId="0" borderId="0" xfId="0" applyNumberFormat="1" applyFont="1" applyFill="1" applyBorder="1" applyAlignment="1" applyProtection="1">
      <alignment horizontal="center" vertical="center" wrapText="1"/>
      <protection/>
    </xf>
    <xf numFmtId="49" fontId="109" fillId="0" borderId="21" xfId="0" applyNumberFormat="1" applyFont="1" applyFill="1" applyBorder="1" applyAlignment="1" applyProtection="1">
      <alignment horizontal="center" vertical="center"/>
      <protection/>
    </xf>
    <xf numFmtId="194" fontId="163" fillId="50" borderId="20" xfId="0" applyNumberFormat="1" applyFont="1" applyFill="1" applyBorder="1" applyAlignment="1" applyProtection="1">
      <alignment horizontal="right" vertical="center"/>
      <protection/>
    </xf>
    <xf numFmtId="10" fontId="100" fillId="0" borderId="20" xfId="157" applyNumberFormat="1" applyFont="1" applyFill="1" applyBorder="1" applyAlignment="1">
      <alignment/>
    </xf>
    <xf numFmtId="3" fontId="100" fillId="0" borderId="20" xfId="135" applyNumberFormat="1" applyFont="1" applyFill="1" applyBorder="1">
      <alignment/>
      <protection/>
    </xf>
    <xf numFmtId="194" fontId="163" fillId="50" borderId="20" xfId="0" applyNumberFormat="1" applyFont="1" applyFill="1" applyBorder="1" applyAlignment="1">
      <alignment horizontal="right" vertical="center"/>
    </xf>
    <xf numFmtId="210" fontId="105" fillId="50" borderId="20" xfId="0" applyNumberFormat="1" applyFont="1" applyFill="1" applyBorder="1" applyAlignment="1">
      <alignment horizontal="center" vertical="center"/>
    </xf>
    <xf numFmtId="194" fontId="105" fillId="50" borderId="20" xfId="0" applyNumberFormat="1" applyFont="1" applyFill="1" applyBorder="1" applyAlignment="1" applyProtection="1">
      <alignment horizontal="center" vertical="center"/>
      <protection/>
    </xf>
    <xf numFmtId="49" fontId="167" fillId="50" borderId="20" xfId="0" applyNumberFormat="1" applyFont="1" applyFill="1" applyBorder="1" applyAlignment="1" applyProtection="1">
      <alignment horizontal="center" vertical="center"/>
      <protection/>
    </xf>
    <xf numFmtId="49" fontId="110" fillId="50" borderId="20" xfId="0" applyNumberFormat="1" applyFont="1" applyFill="1" applyBorder="1" applyAlignment="1" applyProtection="1">
      <alignment horizontal="center" vertical="center"/>
      <protection/>
    </xf>
    <xf numFmtId="49" fontId="110" fillId="50" borderId="20" xfId="0" applyNumberFormat="1" applyFont="1" applyFill="1" applyBorder="1" applyAlignment="1" applyProtection="1">
      <alignment vertical="center"/>
      <protection/>
    </xf>
    <xf numFmtId="49" fontId="105" fillId="50" borderId="20" xfId="0" applyNumberFormat="1" applyFont="1" applyFill="1" applyBorder="1" applyAlignment="1" applyProtection="1">
      <alignment horizontal="center" vertical="center"/>
      <protection/>
    </xf>
    <xf numFmtId="49" fontId="105" fillId="50" borderId="20" xfId="0" applyNumberFormat="1" applyFont="1" applyFill="1" applyBorder="1" applyAlignment="1" applyProtection="1">
      <alignment vertical="center"/>
      <protection/>
    </xf>
    <xf numFmtId="49" fontId="105" fillId="47" borderId="20" xfId="0" applyNumberFormat="1" applyFont="1" applyFill="1" applyBorder="1" applyAlignment="1">
      <alignment/>
    </xf>
    <xf numFmtId="3" fontId="5" fillId="47" borderId="20" xfId="0" applyNumberFormat="1" applyFont="1" applyFill="1" applyBorder="1" applyAlignment="1">
      <alignment horizontal="center"/>
    </xf>
    <xf numFmtId="194" fontId="28" fillId="0" borderId="0" xfId="0" applyNumberFormat="1" applyFont="1" applyFill="1" applyBorder="1" applyAlignment="1">
      <alignment horizontal="center" wrapText="1"/>
    </xf>
    <xf numFmtId="3" fontId="165" fillId="0" borderId="0" xfId="0" applyNumberFormat="1" applyFont="1" applyFill="1" applyAlignment="1">
      <alignment/>
    </xf>
    <xf numFmtId="3" fontId="103" fillId="0" borderId="0" xfId="0" applyNumberFormat="1" applyFont="1" applyFill="1" applyBorder="1" applyAlignment="1">
      <alignment horizontal="center" wrapText="1"/>
    </xf>
    <xf numFmtId="3" fontId="8" fillId="0" borderId="0" xfId="0" applyNumberFormat="1" applyFont="1" applyFill="1" applyAlignment="1">
      <alignment/>
    </xf>
    <xf numFmtId="194" fontId="161" fillId="50" borderId="20" xfId="0" applyNumberFormat="1" applyFont="1" applyFill="1" applyBorder="1" applyAlignment="1" applyProtection="1">
      <alignment horizontal="right" vertical="center"/>
      <protection/>
    </xf>
    <xf numFmtId="194" fontId="161" fillId="50" borderId="20" xfId="0" applyNumberFormat="1" applyFont="1" applyFill="1" applyBorder="1" applyAlignment="1">
      <alignment horizontal="right" vertical="center"/>
    </xf>
    <xf numFmtId="210" fontId="8" fillId="50" borderId="20" xfId="0" applyNumberFormat="1" applyFont="1" applyFill="1" applyBorder="1" applyAlignment="1">
      <alignment horizontal="right" vertical="center"/>
    </xf>
    <xf numFmtId="194" fontId="8" fillId="0" borderId="0" xfId="0" applyNumberFormat="1" applyFont="1" applyFill="1" applyBorder="1" applyAlignment="1">
      <alignment horizontal="center" wrapText="1"/>
    </xf>
    <xf numFmtId="3" fontId="103" fillId="0" borderId="0" xfId="0" applyNumberFormat="1" applyFont="1" applyFill="1" applyAlignment="1">
      <alignment/>
    </xf>
    <xf numFmtId="49" fontId="8" fillId="50" borderId="20" xfId="0" applyNumberFormat="1" applyFont="1" applyFill="1" applyBorder="1" applyAlignment="1" applyProtection="1">
      <alignment horizontal="center" vertical="center"/>
      <protection/>
    </xf>
    <xf numFmtId="3" fontId="4" fillId="0" borderId="0" xfId="0" applyNumberFormat="1" applyFont="1" applyFill="1" applyAlignment="1">
      <alignment/>
    </xf>
    <xf numFmtId="10" fontId="8" fillId="0" borderId="20" xfId="157" applyNumberFormat="1" applyFont="1" applyFill="1" applyBorder="1" applyAlignment="1">
      <alignment/>
    </xf>
    <xf numFmtId="49" fontId="164" fillId="50" borderId="0" xfId="0" applyNumberFormat="1" applyFont="1" applyFill="1" applyAlignment="1">
      <alignment/>
    </xf>
    <xf numFmtId="194" fontId="168" fillId="0" borderId="0" xfId="0" applyNumberFormat="1" applyFont="1" applyFill="1" applyAlignment="1">
      <alignment horizontal="center"/>
    </xf>
    <xf numFmtId="3" fontId="168" fillId="0" borderId="0" xfId="0" applyNumberFormat="1" applyFont="1" applyFill="1" applyAlignment="1">
      <alignment horizontal="center"/>
    </xf>
    <xf numFmtId="3" fontId="5" fillId="0" borderId="2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xf>
    <xf numFmtId="3" fontId="4" fillId="0" borderId="20" xfId="0" applyNumberFormat="1" applyFont="1" applyFill="1" applyBorder="1" applyAlignment="1">
      <alignment horizontal="center" wrapText="1"/>
    </xf>
    <xf numFmtId="3" fontId="168" fillId="0" borderId="20" xfId="0" applyNumberFormat="1" applyFont="1" applyFill="1" applyBorder="1" applyAlignment="1">
      <alignment horizontal="center" wrapText="1"/>
    </xf>
    <xf numFmtId="3" fontId="161" fillId="0" borderId="20" xfId="0" applyNumberFormat="1" applyFont="1" applyFill="1" applyBorder="1" applyAlignment="1">
      <alignment/>
    </xf>
    <xf numFmtId="3" fontId="8" fillId="0" borderId="20" xfId="0" applyNumberFormat="1" applyFont="1" applyFill="1" applyBorder="1" applyAlignment="1">
      <alignment/>
    </xf>
    <xf numFmtId="210" fontId="160" fillId="47" borderId="20" xfId="0" applyNumberFormat="1" applyFont="1" applyFill="1" applyBorder="1" applyAlignment="1">
      <alignment vertical="center"/>
    </xf>
    <xf numFmtId="3" fontId="4" fillId="0" borderId="20" xfId="0" applyNumberFormat="1" applyFont="1" applyFill="1" applyBorder="1" applyAlignment="1">
      <alignment/>
    </xf>
    <xf numFmtId="49" fontId="18" fillId="0" borderId="0" xfId="0" applyNumberFormat="1" applyFont="1" applyFill="1" applyBorder="1" applyAlignment="1">
      <alignment horizontal="center"/>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Border="1" applyAlignment="1">
      <alignment horizontal="center"/>
    </xf>
    <xf numFmtId="0" fontId="165" fillId="0" borderId="0" xfId="0" applyNumberFormat="1" applyFont="1" applyFill="1" applyAlignment="1">
      <alignment horizontal="center"/>
    </xf>
    <xf numFmtId="194" fontId="166" fillId="50" borderId="20" xfId="0" applyNumberFormat="1" applyFont="1" applyFill="1" applyBorder="1" applyAlignment="1" applyProtection="1">
      <alignment horizontal="right" vertical="center"/>
      <protection/>
    </xf>
    <xf numFmtId="194" fontId="8" fillId="50" borderId="20" xfId="0" applyNumberFormat="1" applyFont="1" applyFill="1" applyBorder="1" applyAlignment="1" applyProtection="1">
      <alignment horizontal="right" vertical="center"/>
      <protection/>
    </xf>
    <xf numFmtId="49" fontId="105" fillId="0" borderId="0" xfId="0" applyNumberFormat="1" applyFont="1" applyFill="1" applyBorder="1" applyAlignment="1" applyProtection="1">
      <alignment horizontal="center" vertical="center" wrapText="1"/>
      <protection/>
    </xf>
    <xf numFmtId="49" fontId="8" fillId="50" borderId="20" xfId="0" applyNumberFormat="1" applyFont="1" applyFill="1" applyBorder="1" applyAlignment="1" applyProtection="1">
      <alignment vertical="center"/>
      <protection/>
    </xf>
    <xf numFmtId="49" fontId="5" fillId="0" borderId="20" xfId="0" applyNumberFormat="1" applyFont="1" applyFill="1" applyBorder="1" applyAlignment="1">
      <alignment/>
    </xf>
    <xf numFmtId="1" fontId="5" fillId="47" borderId="20" xfId="0" applyNumberFormat="1" applyFont="1" applyFill="1" applyBorder="1" applyAlignment="1" applyProtection="1">
      <alignment horizontal="center" vertical="center"/>
      <protection/>
    </xf>
    <xf numFmtId="1" fontId="5" fillId="47" borderId="20" xfId="157" applyNumberFormat="1" applyFont="1" applyFill="1" applyBorder="1" applyAlignment="1" applyProtection="1">
      <alignment horizontal="center" vertical="center"/>
      <protection/>
    </xf>
    <xf numFmtId="1" fontId="5" fillId="47" borderId="20" xfId="0" applyNumberFormat="1" applyFont="1" applyFill="1" applyBorder="1" applyAlignment="1">
      <alignment horizontal="center" vertical="center"/>
    </xf>
    <xf numFmtId="49" fontId="169" fillId="50" borderId="26" xfId="0" applyNumberFormat="1" applyFont="1" applyFill="1" applyBorder="1" applyAlignment="1" applyProtection="1">
      <alignment vertical="center"/>
      <protection/>
    </xf>
    <xf numFmtId="194" fontId="164" fillId="50" borderId="20" xfId="0" applyNumberFormat="1" applyFont="1" applyFill="1" applyBorder="1" applyAlignment="1" applyProtection="1">
      <alignment horizontal="right" vertical="center"/>
      <protection/>
    </xf>
    <xf numFmtId="194" fontId="164" fillId="50" borderId="20" xfId="0" applyNumberFormat="1" applyFont="1" applyFill="1" applyBorder="1" applyAlignment="1">
      <alignment horizontal="right" vertical="center"/>
    </xf>
    <xf numFmtId="210" fontId="164" fillId="50" borderId="20" xfId="0" applyNumberFormat="1" applyFont="1" applyFill="1" applyBorder="1" applyAlignment="1">
      <alignment horizontal="right" vertical="center"/>
    </xf>
    <xf numFmtId="10" fontId="5" fillId="0" borderId="20" xfId="157" applyNumberFormat="1" applyFont="1" applyFill="1" applyBorder="1" applyAlignment="1">
      <alignment/>
    </xf>
    <xf numFmtId="3" fontId="5" fillId="0" borderId="20" xfId="135" applyNumberFormat="1" applyFont="1" applyFill="1" applyBorder="1">
      <alignment/>
      <protection/>
    </xf>
    <xf numFmtId="194" fontId="5" fillId="50" borderId="20" xfId="0" applyNumberFormat="1" applyFont="1" applyFill="1" applyBorder="1" applyAlignment="1" applyProtection="1">
      <alignment horizontal="right" vertical="center"/>
      <protection/>
    </xf>
    <xf numFmtId="210" fontId="5" fillId="50" borderId="20" xfId="0" applyNumberFormat="1" applyFont="1" applyFill="1" applyBorder="1" applyAlignment="1">
      <alignment horizontal="right" vertical="center"/>
    </xf>
    <xf numFmtId="10" fontId="103" fillId="0" borderId="20" xfId="157" applyNumberFormat="1" applyFont="1" applyFill="1" applyBorder="1" applyAlignment="1">
      <alignment/>
    </xf>
    <xf numFmtId="49" fontId="8" fillId="0" borderId="20" xfId="0" applyNumberFormat="1" applyFont="1" applyFill="1" applyBorder="1" applyAlignment="1" applyProtection="1">
      <alignment/>
      <protection locked="0"/>
    </xf>
    <xf numFmtId="3" fontId="5" fillId="47" borderId="20" xfId="0" applyNumberFormat="1" applyFont="1" applyFill="1" applyBorder="1" applyAlignment="1" applyProtection="1">
      <alignment horizontal="center" vertical="center"/>
      <protection/>
    </xf>
    <xf numFmtId="3" fontId="5" fillId="47" borderId="20" xfId="157" applyNumberFormat="1" applyFont="1" applyFill="1" applyBorder="1" applyAlignment="1" applyProtection="1">
      <alignment horizontal="center" vertical="center"/>
      <protection/>
    </xf>
    <xf numFmtId="3" fontId="8" fillId="0" borderId="20" xfId="144" applyNumberFormat="1" applyFont="1" applyFill="1" applyBorder="1" applyAlignment="1" applyProtection="1">
      <alignment horizontal="center" vertical="center"/>
      <protection/>
    </xf>
    <xf numFmtId="0" fontId="100" fillId="0" borderId="0" xfId="135" applyFont="1" applyFill="1" applyBorder="1" applyAlignment="1">
      <alignment horizontal="center" vertical="center" wrapText="1"/>
      <protection/>
    </xf>
    <xf numFmtId="3" fontId="5" fillId="47" borderId="20" xfId="0" applyNumberFormat="1" applyFont="1" applyFill="1" applyBorder="1" applyAlignment="1">
      <alignment horizontal="center" vertical="center"/>
    </xf>
    <xf numFmtId="3" fontId="103" fillId="47" borderId="20" xfId="0" applyNumberFormat="1" applyFont="1" applyFill="1" applyBorder="1" applyAlignment="1">
      <alignment horizontal="center" vertical="center"/>
    </xf>
    <xf numFmtId="3" fontId="103" fillId="0" borderId="20" xfId="0" applyNumberFormat="1" applyFont="1" applyFill="1" applyBorder="1" applyAlignment="1" applyProtection="1">
      <alignment/>
      <protection locked="0"/>
    </xf>
    <xf numFmtId="49" fontId="5" fillId="0" borderId="20" xfId="0" applyNumberFormat="1" applyFont="1" applyFill="1" applyBorder="1" applyAlignment="1" applyProtection="1">
      <alignment horizontal="right"/>
      <protection locked="0"/>
    </xf>
    <xf numFmtId="3" fontId="164" fillId="0" borderId="0" xfId="0" applyNumberFormat="1" applyFont="1" applyFill="1" applyAlignment="1">
      <alignment/>
    </xf>
    <xf numFmtId="49" fontId="4" fillId="0" borderId="20" xfId="0" applyNumberFormat="1" applyFont="1" applyFill="1" applyBorder="1" applyAlignment="1" applyProtection="1">
      <alignment horizontal="center" vertical="center"/>
      <protection locked="0"/>
    </xf>
    <xf numFmtId="3" fontId="103" fillId="0" borderId="20" xfId="0" applyNumberFormat="1" applyFont="1" applyFill="1" applyBorder="1" applyAlignment="1" applyProtection="1">
      <alignment horizontal="center" vertical="center"/>
      <protection locked="0"/>
    </xf>
    <xf numFmtId="216" fontId="103" fillId="0" borderId="20" xfId="0" applyNumberFormat="1" applyFont="1" applyFill="1" applyBorder="1" applyAlignment="1" applyProtection="1">
      <alignment horizontal="center" vertical="center"/>
      <protection locked="0"/>
    </xf>
    <xf numFmtId="3" fontId="8" fillId="0" borderId="20" xfId="144" applyNumberFormat="1" applyFont="1" applyFill="1" applyBorder="1" applyAlignment="1" applyProtection="1">
      <alignment horizontal="center" vertical="center"/>
      <protection locked="0"/>
    </xf>
    <xf numFmtId="194" fontId="5" fillId="0" borderId="20" xfId="99" applyNumberFormat="1" applyFont="1" applyBorder="1" applyAlignment="1" applyProtection="1">
      <alignment/>
      <protection locked="0"/>
    </xf>
    <xf numFmtId="194" fontId="112" fillId="47" borderId="20" xfId="99" applyNumberFormat="1" applyFont="1" applyFill="1" applyBorder="1" applyAlignment="1">
      <alignment horizontal="center"/>
    </xf>
    <xf numFmtId="49" fontId="4" fillId="0" borderId="20" xfId="0" applyNumberFormat="1" applyFont="1" applyFill="1" applyBorder="1" applyAlignment="1" applyProtection="1">
      <alignment/>
      <protection locked="0"/>
    </xf>
    <xf numFmtId="3" fontId="163" fillId="0" borderId="20" xfId="135" applyNumberFormat="1" applyFont="1" applyFill="1" applyBorder="1">
      <alignment/>
      <protection/>
    </xf>
    <xf numFmtId="43" fontId="8" fillId="0" borderId="20" xfId="99" applyFont="1" applyFill="1" applyBorder="1" applyAlignment="1" applyProtection="1">
      <alignment/>
      <protection locked="0"/>
    </xf>
    <xf numFmtId="210" fontId="164" fillId="47" borderId="20" xfId="0" applyNumberFormat="1" applyFont="1" applyFill="1" applyBorder="1" applyAlignment="1">
      <alignment horizontal="center" vertical="center"/>
    </xf>
    <xf numFmtId="210" fontId="164" fillId="47" borderId="25" xfId="0" applyNumberFormat="1" applyFont="1" applyFill="1" applyBorder="1" applyAlignment="1">
      <alignment horizontal="center" vertical="center"/>
    </xf>
    <xf numFmtId="194" fontId="161" fillId="0" borderId="20" xfId="0" applyNumberFormat="1" applyFont="1" applyFill="1" applyBorder="1" applyAlignment="1">
      <alignment/>
    </xf>
    <xf numFmtId="3" fontId="160" fillId="0" borderId="20" xfId="0" applyNumberFormat="1" applyFont="1" applyFill="1" applyBorder="1" applyAlignment="1">
      <alignment/>
    </xf>
    <xf numFmtId="49" fontId="0" fillId="0" borderId="20" xfId="0" applyNumberFormat="1" applyFont="1" applyFill="1" applyBorder="1" applyAlignment="1">
      <alignment vertical="center"/>
    </xf>
    <xf numFmtId="3" fontId="170" fillId="0" borderId="20" xfId="0" applyNumberFormat="1" applyFont="1" applyFill="1" applyBorder="1" applyAlignment="1">
      <alignment horizontal="center" wrapText="1"/>
    </xf>
    <xf numFmtId="3" fontId="171" fillId="0" borderId="20" xfId="0" applyNumberFormat="1" applyFont="1" applyFill="1" applyBorder="1" applyAlignment="1">
      <alignment/>
    </xf>
    <xf numFmtId="194" fontId="161" fillId="50" borderId="0" xfId="0" applyNumberFormat="1" applyFont="1" applyFill="1" applyAlignment="1">
      <alignment/>
    </xf>
    <xf numFmtId="0" fontId="8" fillId="0" borderId="0" xfId="0" applyFont="1" applyAlignment="1">
      <alignment/>
    </xf>
    <xf numFmtId="1" fontId="5" fillId="47" borderId="20" xfId="0" applyNumberFormat="1" applyFont="1" applyFill="1" applyBorder="1" applyAlignment="1" applyProtection="1">
      <alignment horizontal="right" vertical="center"/>
      <protection/>
    </xf>
    <xf numFmtId="194" fontId="112" fillId="47" borderId="20" xfId="0" applyNumberFormat="1" applyFont="1" applyFill="1" applyBorder="1" applyAlignment="1" applyProtection="1">
      <alignment horizontal="right" vertical="center"/>
      <protection/>
    </xf>
    <xf numFmtId="0" fontId="4" fillId="0" borderId="0" xfId="0" applyNumberFormat="1" applyFont="1" applyFill="1" applyAlignment="1">
      <alignment/>
    </xf>
    <xf numFmtId="0" fontId="0" fillId="49" borderId="20" xfId="0" applyFont="1" applyFill="1" applyBorder="1" applyAlignment="1">
      <alignment/>
    </xf>
    <xf numFmtId="194" fontId="8" fillId="47" borderId="20" xfId="99" applyNumberFormat="1" applyFont="1" applyFill="1" applyBorder="1" applyAlignment="1" applyProtection="1">
      <alignment horizontal="center" vertical="center"/>
      <protection/>
    </xf>
    <xf numFmtId="194" fontId="111" fillId="47" borderId="20" xfId="99" applyNumberFormat="1" applyFont="1" applyFill="1" applyBorder="1" applyAlignment="1">
      <alignment horizontal="center"/>
    </xf>
    <xf numFmtId="0" fontId="172" fillId="51" borderId="20" xfId="0" applyFont="1" applyFill="1" applyBorder="1" applyAlignment="1">
      <alignment vertical="center" wrapText="1"/>
    </xf>
    <xf numFmtId="194" fontId="29" fillId="47" borderId="20" xfId="0" applyNumberFormat="1" applyFont="1" applyFill="1" applyBorder="1" applyAlignment="1" applyProtection="1">
      <alignment horizontal="right" vertical="center"/>
      <protection/>
    </xf>
    <xf numFmtId="1" fontId="29" fillId="47" borderId="20" xfId="0" applyNumberFormat="1" applyFont="1" applyFill="1" applyBorder="1" applyAlignment="1" applyProtection="1">
      <alignment horizontal="center" vertical="center"/>
      <protection/>
    </xf>
    <xf numFmtId="194" fontId="113" fillId="47" borderId="20" xfId="99" applyNumberFormat="1" applyFont="1" applyFill="1" applyBorder="1" applyAlignment="1" applyProtection="1">
      <alignment horizontal="center" vertical="center"/>
      <protection/>
    </xf>
    <xf numFmtId="194" fontId="113" fillId="47" borderId="20" xfId="0" applyNumberFormat="1" applyFont="1" applyFill="1" applyBorder="1" applyAlignment="1" applyProtection="1">
      <alignment horizontal="right" vertical="center"/>
      <protection/>
    </xf>
    <xf numFmtId="210" fontId="161" fillId="50" borderId="20" xfId="0" applyNumberFormat="1" applyFont="1" applyFill="1" applyBorder="1" applyAlignment="1">
      <alignment horizontal="right" vertical="center"/>
    </xf>
    <xf numFmtId="49" fontId="161" fillId="50" borderId="20" xfId="0" applyNumberFormat="1" applyFont="1" applyFill="1" applyBorder="1" applyAlignment="1" applyProtection="1">
      <alignment horizontal="center" vertical="center"/>
      <protection/>
    </xf>
    <xf numFmtId="49" fontId="161" fillId="50" borderId="20" xfId="0" applyNumberFormat="1" applyFont="1" applyFill="1" applyBorder="1" applyAlignment="1" applyProtection="1">
      <alignment vertical="center"/>
      <protection/>
    </xf>
    <xf numFmtId="194" fontId="161" fillId="50" borderId="20" xfId="0" applyNumberFormat="1" applyFont="1" applyFill="1" applyBorder="1" applyAlignment="1">
      <alignment horizontal="right"/>
    </xf>
    <xf numFmtId="49" fontId="8" fillId="50" borderId="20" xfId="138" applyNumberFormat="1" applyFont="1" applyFill="1" applyBorder="1" applyAlignment="1" applyProtection="1">
      <alignment vertical="center"/>
      <protection/>
    </xf>
    <xf numFmtId="0" fontId="8" fillId="50" borderId="20" xfId="138" applyFont="1" applyFill="1" applyBorder="1" applyAlignment="1">
      <alignment horizontal="left" vertical="center"/>
      <protection/>
    </xf>
    <xf numFmtId="194" fontId="104" fillId="47" borderId="20" xfId="99" applyNumberFormat="1" applyFont="1" applyFill="1" applyBorder="1" applyAlignment="1" applyProtection="1">
      <alignment horizontal="center" vertical="center"/>
      <protection/>
    </xf>
    <xf numFmtId="49" fontId="8" fillId="0" borderId="20" xfId="144" applyNumberFormat="1" applyFont="1" applyFill="1" applyBorder="1" applyAlignment="1" applyProtection="1">
      <alignment vertical="center"/>
      <protection locked="0"/>
    </xf>
    <xf numFmtId="49" fontId="8" fillId="0" borderId="20" xfId="144" applyNumberFormat="1" applyFont="1" applyFill="1" applyBorder="1" applyAlignment="1" applyProtection="1">
      <alignment vertical="center" wrapText="1"/>
      <protection locked="0"/>
    </xf>
    <xf numFmtId="49" fontId="8" fillId="0" borderId="20" xfId="0" applyNumberFormat="1" applyFont="1" applyFill="1" applyBorder="1" applyAlignment="1">
      <alignment/>
    </xf>
    <xf numFmtId="49" fontId="105" fillId="0" borderId="25" xfId="0" applyNumberFormat="1" applyFont="1" applyFill="1" applyBorder="1" applyAlignment="1" applyProtection="1">
      <alignment horizontal="center" vertical="center" wrapText="1"/>
      <protection/>
    </xf>
    <xf numFmtId="0" fontId="100" fillId="0" borderId="25" xfId="135" applyFont="1" applyFill="1" applyBorder="1" applyAlignment="1">
      <alignment horizontal="center" vertical="center" wrapText="1"/>
      <protection/>
    </xf>
    <xf numFmtId="3" fontId="172" fillId="51" borderId="20" xfId="0" applyNumberFormat="1" applyFont="1" applyFill="1" applyBorder="1" applyAlignment="1">
      <alignment vertical="center" wrapText="1"/>
    </xf>
    <xf numFmtId="49" fontId="8" fillId="50" borderId="20" xfId="0" applyNumberFormat="1" applyFont="1" applyFill="1" applyBorder="1" applyAlignment="1">
      <alignment vertical="center"/>
    </xf>
    <xf numFmtId="194" fontId="104" fillId="47" borderId="20" xfId="0" applyNumberFormat="1" applyFont="1" applyFill="1" applyBorder="1" applyAlignment="1" applyProtection="1">
      <alignment horizontal="right" vertical="center"/>
      <protection/>
    </xf>
    <xf numFmtId="0" fontId="173" fillId="51" borderId="20" xfId="142" applyFont="1" applyFill="1" applyBorder="1" applyAlignment="1">
      <alignment vertical="center" wrapText="1"/>
      <protection/>
    </xf>
    <xf numFmtId="1" fontId="173" fillId="51" borderId="20" xfId="142" applyNumberFormat="1" applyFont="1" applyFill="1" applyBorder="1" applyAlignment="1">
      <alignment vertical="center" wrapText="1"/>
      <protection/>
    </xf>
    <xf numFmtId="49" fontId="174" fillId="47" borderId="26" xfId="0" applyNumberFormat="1" applyFont="1" applyFill="1" applyBorder="1" applyAlignment="1" applyProtection="1">
      <alignment vertical="center"/>
      <protection/>
    </xf>
    <xf numFmtId="194" fontId="174" fillId="47" borderId="20" xfId="0" applyNumberFormat="1" applyFont="1" applyFill="1" applyBorder="1" applyAlignment="1" applyProtection="1">
      <alignment horizontal="right" vertical="center"/>
      <protection/>
    </xf>
    <xf numFmtId="49" fontId="175" fillId="47" borderId="20" xfId="0" applyNumberFormat="1" applyFont="1" applyFill="1" applyBorder="1" applyAlignment="1" applyProtection="1">
      <alignment vertical="center"/>
      <protection/>
    </xf>
    <xf numFmtId="194" fontId="175" fillId="47" borderId="20" xfId="0" applyNumberFormat="1" applyFont="1" applyFill="1" applyBorder="1" applyAlignment="1" applyProtection="1">
      <alignment horizontal="left" vertical="center"/>
      <protection/>
    </xf>
    <xf numFmtId="194" fontId="175" fillId="47" borderId="20" xfId="0" applyNumberFormat="1" applyFont="1" applyFill="1" applyBorder="1" applyAlignment="1" applyProtection="1">
      <alignment horizontal="right" vertical="center"/>
      <protection/>
    </xf>
    <xf numFmtId="41" fontId="5" fillId="47" borderId="20" xfId="0" applyNumberFormat="1" applyFont="1" applyFill="1" applyBorder="1" applyAlignment="1" applyProtection="1">
      <alignment horizontal="center" vertical="center"/>
      <protection locked="0"/>
    </xf>
    <xf numFmtId="41" fontId="5" fillId="50" borderId="20" xfId="0" applyNumberFormat="1" applyFont="1" applyFill="1" applyBorder="1" applyAlignment="1" applyProtection="1">
      <alignment horizontal="center" vertical="center"/>
      <protection locked="0"/>
    </xf>
    <xf numFmtId="1" fontId="5" fillId="47" borderId="20" xfId="0" applyNumberFormat="1" applyFont="1" applyFill="1" applyBorder="1" applyAlignment="1" applyProtection="1">
      <alignment vertical="center"/>
      <protection/>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45" applyNumberFormat="1" applyFont="1" applyBorder="1" applyAlignment="1">
      <alignment horizontal="center" wrapText="1"/>
      <protection/>
    </xf>
    <xf numFmtId="49" fontId="64" fillId="0" borderId="0" xfId="145" applyNumberFormat="1" applyFont="1" applyBorder="1" applyAlignment="1">
      <alignment horizontal="center" wrapText="1"/>
      <protection/>
    </xf>
    <xf numFmtId="49" fontId="39" fillId="0" borderId="0" xfId="145" applyNumberFormat="1" applyFont="1" applyBorder="1" applyAlignment="1">
      <alignment horizontal="center" wrapText="1"/>
      <protection/>
    </xf>
    <xf numFmtId="49" fontId="7" fillId="0" borderId="26" xfId="145" applyNumberFormat="1" applyFont="1" applyBorder="1" applyAlignment="1">
      <alignment horizontal="center" vertical="center" wrapText="1"/>
      <protection/>
    </xf>
    <xf numFmtId="49" fontId="7" fillId="0" borderId="40" xfId="145" applyNumberFormat="1" applyFont="1" applyBorder="1" applyAlignment="1">
      <alignment horizontal="center" vertical="center" wrapText="1"/>
      <protection/>
    </xf>
    <xf numFmtId="49" fontId="7" fillId="0" borderId="25" xfId="145" applyNumberFormat="1" applyFont="1" applyBorder="1" applyAlignment="1">
      <alignment horizontal="center" vertical="center" wrapText="1"/>
      <protection/>
    </xf>
    <xf numFmtId="49" fontId="7" fillId="0" borderId="26" xfId="145" applyNumberFormat="1" applyFont="1" applyFill="1" applyBorder="1" applyAlignment="1">
      <alignment horizontal="center" vertical="center" wrapText="1"/>
      <protection/>
    </xf>
    <xf numFmtId="49" fontId="27" fillId="0" borderId="25" xfId="145" applyNumberFormat="1" applyFont="1" applyFill="1" applyBorder="1" applyAlignment="1">
      <alignment horizontal="center" vertical="center" wrapText="1"/>
      <protection/>
    </xf>
    <xf numFmtId="49" fontId="0" fillId="3" borderId="35" xfId="145" applyNumberFormat="1" applyFont="1" applyFill="1" applyBorder="1" applyAlignment="1">
      <alignment horizontal="center"/>
      <protection/>
    </xf>
    <xf numFmtId="49" fontId="0" fillId="3" borderId="19" xfId="145" applyNumberFormat="1" applyFont="1" applyFill="1" applyBorder="1" applyAlignment="1">
      <alignment horizontal="center"/>
      <protection/>
    </xf>
    <xf numFmtId="49" fontId="0" fillId="3" borderId="36" xfId="145" applyNumberFormat="1" applyFont="1" applyFill="1" applyBorder="1" applyAlignment="1">
      <alignment horizontal="center"/>
      <protection/>
    </xf>
    <xf numFmtId="3" fontId="33" fillId="47" borderId="38" xfId="145" applyNumberFormat="1" applyFont="1" applyFill="1" applyBorder="1" applyAlignment="1" applyProtection="1">
      <alignment horizontal="center" vertical="center" wrapText="1"/>
      <protection/>
    </xf>
    <xf numFmtId="3" fontId="33" fillId="47" borderId="23" xfId="145" applyNumberFormat="1" applyFont="1" applyFill="1" applyBorder="1" applyAlignment="1" applyProtection="1">
      <alignment horizontal="center" vertical="center" wrapText="1"/>
      <protection/>
    </xf>
    <xf numFmtId="49" fontId="7" fillId="0" borderId="20" xfId="145" applyNumberFormat="1" applyFont="1" applyFill="1" applyBorder="1" applyAlignment="1" applyProtection="1">
      <alignment horizontal="center" vertical="center" wrapText="1"/>
      <protection/>
    </xf>
    <xf numFmtId="3" fontId="7" fillId="47" borderId="21" xfId="145" applyNumberFormat="1" applyFont="1" applyFill="1" applyBorder="1" applyAlignment="1" applyProtection="1">
      <alignment horizontal="center" vertical="center" wrapText="1"/>
      <protection/>
    </xf>
    <xf numFmtId="3" fontId="7" fillId="47" borderId="23" xfId="145" applyNumberFormat="1" applyFont="1" applyFill="1" applyBorder="1" applyAlignment="1" applyProtection="1">
      <alignment horizontal="center" vertical="center" wrapText="1"/>
      <protection/>
    </xf>
    <xf numFmtId="49" fontId="0" fillId="0" borderId="0" xfId="145" applyNumberFormat="1" applyFont="1" applyAlignment="1">
      <alignment horizontal="left"/>
      <protection/>
    </xf>
    <xf numFmtId="49" fontId="32" fillId="0" borderId="0" xfId="145" applyNumberFormat="1" applyFont="1" applyAlignment="1">
      <alignment horizontal="center"/>
      <protection/>
    </xf>
    <xf numFmtId="49" fontId="28" fillId="0" borderId="0" xfId="145" applyNumberFormat="1" applyFont="1" applyAlignment="1">
      <alignment horizontal="center" wrapText="1"/>
      <protection/>
    </xf>
    <xf numFmtId="49" fontId="25" fillId="0" borderId="0" xfId="145" applyNumberFormat="1" applyFont="1" applyAlignment="1">
      <alignment horizontal="center"/>
      <protection/>
    </xf>
    <xf numFmtId="0" fontId="16" fillId="0" borderId="20" xfId="145" applyNumberFormat="1" applyFont="1" applyBorder="1" applyAlignment="1">
      <alignment horizontal="center" vertical="center" wrapText="1"/>
      <protection/>
    </xf>
    <xf numFmtId="49" fontId="30" fillId="0" borderId="0" xfId="145" applyNumberFormat="1" applyFont="1" applyBorder="1" applyAlignment="1">
      <alignment horizontal="center" wrapText="1"/>
      <protection/>
    </xf>
    <xf numFmtId="0" fontId="54" fillId="3" borderId="26" xfId="145" applyNumberFormat="1" applyFont="1" applyFill="1" applyBorder="1" applyAlignment="1">
      <alignment horizontal="center" vertical="center" wrapText="1"/>
      <protection/>
    </xf>
    <xf numFmtId="0" fontId="54" fillId="3" borderId="25" xfId="145" applyNumberFormat="1" applyFont="1" applyFill="1" applyBorder="1" applyAlignment="1">
      <alignment horizontal="center" vertical="center" wrapText="1"/>
      <protection/>
    </xf>
    <xf numFmtId="49" fontId="3" fillId="0" borderId="0" xfId="145" applyNumberFormat="1" applyFont="1" applyBorder="1" applyAlignment="1">
      <alignment horizontal="left" wrapText="1"/>
      <protection/>
    </xf>
    <xf numFmtId="49" fontId="0" fillId="0" borderId="0" xfId="145" applyNumberFormat="1" applyFont="1" applyBorder="1" applyAlignment="1">
      <alignment horizontal="left" wrapText="1"/>
      <protection/>
    </xf>
    <xf numFmtId="49" fontId="18" fillId="0" borderId="22" xfId="145" applyNumberFormat="1" applyFont="1" applyFill="1" applyBorder="1" applyAlignment="1">
      <alignment horizontal="center" vertical="center"/>
      <protection/>
    </xf>
    <xf numFmtId="49" fontId="7" fillId="0" borderId="20" xfId="145" applyNumberFormat="1" applyFont="1" applyFill="1" applyBorder="1" applyAlignment="1">
      <alignment horizontal="center" vertical="center" wrapText="1"/>
      <protection/>
    </xf>
    <xf numFmtId="49" fontId="18" fillId="0" borderId="0" xfId="145" applyNumberFormat="1" applyFont="1" applyAlignment="1">
      <alignment horizontal="left"/>
      <protection/>
    </xf>
    <xf numFmtId="49" fontId="14" fillId="47" borderId="0" xfId="145" applyNumberFormat="1" applyFont="1" applyFill="1" applyAlignment="1">
      <alignment horizontal="center" vertical="center" wrapText="1"/>
      <protection/>
    </xf>
    <xf numFmtId="49" fontId="3" fillId="0" borderId="0" xfId="145" applyNumberFormat="1" applyFont="1" applyAlignment="1">
      <alignment horizontal="lef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49" fontId="7" fillId="0" borderId="25" xfId="145" applyNumberFormat="1" applyFont="1" applyFill="1" applyBorder="1" applyAlignment="1">
      <alignment horizontal="center" vertical="center" wrapText="1"/>
      <protection/>
    </xf>
    <xf numFmtId="0" fontId="7" fillId="0" borderId="35" xfId="145" applyNumberFormat="1" applyFont="1" applyBorder="1" applyAlignment="1">
      <alignment horizontal="center" vertical="center" wrapText="1"/>
      <protection/>
    </xf>
    <xf numFmtId="0" fontId="7" fillId="0" borderId="36" xfId="145" applyNumberFormat="1" applyFont="1" applyBorder="1" applyAlignment="1">
      <alignment horizontal="center" vertical="center" wrapText="1"/>
      <protection/>
    </xf>
    <xf numFmtId="0" fontId="7" fillId="0" borderId="24" xfId="145" applyNumberFormat="1" applyFont="1" applyBorder="1" applyAlignment="1">
      <alignment horizontal="center" vertical="center" wrapText="1"/>
      <protection/>
    </xf>
    <xf numFmtId="0" fontId="7" fillId="0" borderId="39" xfId="145" applyNumberFormat="1" applyFont="1" applyBorder="1" applyAlignment="1">
      <alignment horizontal="center" vertical="center" wrapText="1"/>
      <protection/>
    </xf>
    <xf numFmtId="49" fontId="7" fillId="44" borderId="26" xfId="145" applyNumberFormat="1" applyFont="1" applyFill="1" applyBorder="1" applyAlignment="1">
      <alignment horizontal="center" vertical="center"/>
      <protection/>
    </xf>
    <xf numFmtId="49" fontId="7" fillId="44" borderId="25" xfId="145" applyNumberFormat="1" applyFont="1" applyFill="1" applyBorder="1" applyAlignment="1">
      <alignment horizontal="center" vertical="center"/>
      <protection/>
    </xf>
    <xf numFmtId="0" fontId="55" fillId="3" borderId="26" xfId="145" applyNumberFormat="1" applyFont="1" applyFill="1" applyBorder="1" applyAlignment="1">
      <alignment horizontal="center" vertical="center" wrapText="1"/>
      <protection/>
    </xf>
    <xf numFmtId="0" fontId="55" fillId="3" borderId="25" xfId="145" applyNumberFormat="1" applyFont="1" applyFill="1" applyBorder="1" applyAlignment="1">
      <alignment horizontal="center" vertical="center" wrapText="1"/>
      <protection/>
    </xf>
    <xf numFmtId="49" fontId="3" fillId="0" borderId="0" xfId="145" applyNumberFormat="1" applyFont="1" applyFill="1" applyAlignment="1">
      <alignment horizontal="left"/>
      <protection/>
    </xf>
    <xf numFmtId="49" fontId="6" fillId="0" borderId="20" xfId="145" applyNumberFormat="1" applyFont="1" applyFill="1" applyBorder="1" applyAlignment="1">
      <alignment horizontal="center" vertical="center" wrapText="1"/>
      <protection/>
    </xf>
    <xf numFmtId="49" fontId="6" fillId="0" borderId="26" xfId="145" applyNumberFormat="1" applyFont="1" applyFill="1" applyBorder="1" applyAlignment="1">
      <alignment horizontal="center" vertical="center" wrapText="1"/>
      <protection/>
    </xf>
    <xf numFmtId="49" fontId="6" fillId="0" borderId="40" xfId="145" applyNumberFormat="1" applyFont="1" applyFill="1" applyBorder="1" applyAlignment="1">
      <alignment horizontal="center" vertical="center" wrapText="1"/>
      <protection/>
    </xf>
    <xf numFmtId="49" fontId="6" fillId="0" borderId="25" xfId="145" applyNumberFormat="1" applyFont="1" applyFill="1" applyBorder="1" applyAlignment="1">
      <alignment horizontal="center" vertical="center" wrapText="1"/>
      <protection/>
    </xf>
    <xf numFmtId="49" fontId="18" fillId="0" borderId="0" xfId="145" applyNumberFormat="1" applyFont="1" applyFill="1" applyBorder="1" applyAlignment="1">
      <alignment horizontal="left"/>
      <protection/>
    </xf>
    <xf numFmtId="49" fontId="0" fillId="0" borderId="0" xfId="145" applyNumberFormat="1" applyFont="1" applyFill="1" applyAlignment="1">
      <alignment horizontal="justify" wrapText="1"/>
      <protection/>
    </xf>
    <xf numFmtId="49" fontId="3" fillId="0" borderId="0" xfId="145" applyNumberFormat="1" applyFont="1" applyFill="1" applyAlignment="1">
      <alignment horizontal="center" vertical="top" wrapText="1"/>
      <protection/>
    </xf>
    <xf numFmtId="49" fontId="67" fillId="3" borderId="26" xfId="145" applyNumberFormat="1" applyFont="1" applyFill="1" applyBorder="1" applyAlignment="1">
      <alignment horizontal="center" vertical="center" wrapText="1"/>
      <protection/>
    </xf>
    <xf numFmtId="49" fontId="67" fillId="3" borderId="25" xfId="145" applyNumberFormat="1" applyFont="1" applyFill="1" applyBorder="1" applyAlignment="1">
      <alignment horizontal="center" vertical="center" wrapText="1"/>
      <protection/>
    </xf>
    <xf numFmtId="49" fontId="7" fillId="44" borderId="26" xfId="145" applyNumberFormat="1" applyFont="1" applyFill="1" applyBorder="1" applyAlignment="1">
      <alignment horizontal="center"/>
      <protection/>
    </xf>
    <xf numFmtId="49" fontId="7" fillId="44" borderId="25" xfId="145" applyNumberFormat="1" applyFont="1" applyFill="1" applyBorder="1" applyAlignment="1">
      <alignment horizontal="center"/>
      <protection/>
    </xf>
    <xf numFmtId="49" fontId="21" fillId="0" borderId="26" xfId="145" applyNumberFormat="1" applyFont="1" applyFill="1" applyBorder="1" applyAlignment="1">
      <alignment horizontal="center" vertical="center" wrapText="1"/>
      <protection/>
    </xf>
    <xf numFmtId="49" fontId="21" fillId="0" borderId="25" xfId="145" applyNumberFormat="1" applyFont="1" applyFill="1" applyBorder="1" applyAlignment="1">
      <alignment horizontal="center" vertical="center" wrapText="1"/>
      <protection/>
    </xf>
    <xf numFmtId="0" fontId="6" fillId="0" borderId="35" xfId="145" applyNumberFormat="1" applyFont="1" applyFill="1" applyBorder="1" applyAlignment="1">
      <alignment horizontal="center" vertical="center" wrapText="1"/>
      <protection/>
    </xf>
    <xf numFmtId="0" fontId="6" fillId="0" borderId="36" xfId="145" applyNumberFormat="1" applyFont="1" applyFill="1" applyBorder="1" applyAlignment="1">
      <alignment horizontal="center" vertical="center" wrapText="1"/>
      <protection/>
    </xf>
    <xf numFmtId="0" fontId="6" fillId="0" borderId="24" xfId="145" applyNumberFormat="1" applyFont="1" applyFill="1" applyBorder="1" applyAlignment="1">
      <alignment horizontal="center" vertical="center" wrapText="1"/>
      <protection/>
    </xf>
    <xf numFmtId="0" fontId="6" fillId="0" borderId="39" xfId="145" applyNumberFormat="1" applyFont="1" applyFill="1" applyBorder="1" applyAlignment="1">
      <alignment horizontal="center" vertical="center" wrapText="1"/>
      <protection/>
    </xf>
    <xf numFmtId="0" fontId="6" fillId="0" borderId="27" xfId="145" applyNumberFormat="1" applyFont="1" applyFill="1" applyBorder="1" applyAlignment="1">
      <alignment horizontal="center" vertical="center" wrapText="1"/>
      <protection/>
    </xf>
    <xf numFmtId="0" fontId="6" fillId="0" borderId="37" xfId="145" applyNumberFormat="1" applyFont="1" applyFill="1" applyBorder="1" applyAlignment="1">
      <alignment horizontal="center" vertical="center" wrapText="1"/>
      <protection/>
    </xf>
    <xf numFmtId="49" fontId="6" fillId="0" borderId="38" xfId="145" applyNumberFormat="1" applyFont="1" applyFill="1" applyBorder="1" applyAlignment="1">
      <alignment horizontal="center" vertical="center" wrapText="1"/>
      <protection/>
    </xf>
    <xf numFmtId="49" fontId="6" fillId="0" borderId="23" xfId="145" applyNumberFormat="1" applyFont="1" applyFill="1" applyBorder="1" applyAlignment="1">
      <alignment horizontal="center" vertical="center" wrapText="1"/>
      <protection/>
    </xf>
    <xf numFmtId="49" fontId="3" fillId="0" borderId="20" xfId="145" applyNumberFormat="1" applyFont="1" applyFill="1" applyBorder="1" applyAlignment="1">
      <alignment horizontal="center"/>
      <protection/>
    </xf>
    <xf numFmtId="49" fontId="66" fillId="3" borderId="26" xfId="145" applyNumberFormat="1" applyFont="1" applyFill="1" applyBorder="1" applyAlignment="1">
      <alignment horizontal="center" vertical="center" wrapText="1"/>
      <protection/>
    </xf>
    <xf numFmtId="49" fontId="66" fillId="3" borderId="25" xfId="145" applyNumberFormat="1" applyFont="1" applyFill="1" applyBorder="1" applyAlignment="1">
      <alignment horizontal="center" vertical="center" wrapText="1"/>
      <protection/>
    </xf>
    <xf numFmtId="49" fontId="0" fillId="0" borderId="0" xfId="145" applyNumberFormat="1" applyFont="1" applyFill="1" applyBorder="1" applyAlignment="1">
      <alignment horizontal="left"/>
      <protection/>
    </xf>
    <xf numFmtId="49" fontId="3" fillId="0" borderId="0" xfId="145" applyNumberFormat="1" applyFont="1" applyFill="1" applyBorder="1" applyAlignment="1">
      <alignment horizontal="left"/>
      <protection/>
    </xf>
    <xf numFmtId="49" fontId="3" fillId="0" borderId="0" xfId="145" applyNumberFormat="1" applyFont="1" applyFill="1" applyBorder="1" applyAlignment="1">
      <alignment horizontal="left" wrapText="1"/>
      <protection/>
    </xf>
    <xf numFmtId="49" fontId="0" fillId="0" borderId="0" xfId="145" applyNumberFormat="1" applyFont="1" applyFill="1" applyBorder="1" applyAlignment="1">
      <alignment horizontal="left" wrapText="1"/>
      <protection/>
    </xf>
    <xf numFmtId="49" fontId="6" fillId="0" borderId="22" xfId="145" applyNumberFormat="1" applyFont="1" applyFill="1" applyBorder="1" applyAlignment="1">
      <alignment horizontal="center" vertical="center" wrapText="1"/>
      <protection/>
    </xf>
    <xf numFmtId="49" fontId="15" fillId="0" borderId="0" xfId="145" applyNumberFormat="1" applyFont="1" applyFill="1" applyBorder="1" applyAlignment="1">
      <alignment horizontal="center" vertical="center" wrapText="1"/>
      <protection/>
    </xf>
    <xf numFmtId="49" fontId="13" fillId="0" borderId="0" xfId="145" applyNumberFormat="1" applyFont="1" applyFill="1" applyAlignment="1">
      <alignment horizontal="left" wrapText="1"/>
      <protection/>
    </xf>
    <xf numFmtId="49" fontId="13" fillId="0" borderId="0" xfId="145" applyNumberFormat="1" applyFont="1" applyFill="1" applyAlignment="1">
      <alignment horizontal="center" wrapText="1"/>
      <protection/>
    </xf>
    <xf numFmtId="0" fontId="3" fillId="0" borderId="0" xfId="145" applyFont="1" applyAlignment="1">
      <alignment horizontal="center"/>
      <protection/>
    </xf>
    <xf numFmtId="49" fontId="3" fillId="47" borderId="0" xfId="145" applyNumberFormat="1" applyFont="1" applyFill="1" applyAlignment="1">
      <alignment horizontal="center"/>
      <protection/>
    </xf>
    <xf numFmtId="49" fontId="23" fillId="0" borderId="0" xfId="145" applyNumberFormat="1" applyFont="1" applyFill="1" applyBorder="1" applyAlignment="1">
      <alignment horizontal="center" wrapText="1"/>
      <protection/>
    </xf>
    <xf numFmtId="49" fontId="15" fillId="0" borderId="0" xfId="145" applyNumberFormat="1" applyFont="1" applyFill="1" applyBorder="1" applyAlignment="1">
      <alignment horizontal="center" wrapText="1"/>
      <protection/>
    </xf>
    <xf numFmtId="49" fontId="70" fillId="0" borderId="0" xfId="145" applyNumberFormat="1" applyFont="1" applyFill="1" applyAlignment="1">
      <alignment horizontal="center"/>
      <protection/>
    </xf>
    <xf numFmtId="49" fontId="18" fillId="0" borderId="0" xfId="145" applyNumberFormat="1" applyFont="1" applyFill="1" applyAlignment="1">
      <alignment horizontal="center"/>
      <protection/>
    </xf>
    <xf numFmtId="49" fontId="3" fillId="0" borderId="20" xfId="145" applyNumberFormat="1" applyFont="1" applyFill="1" applyBorder="1" applyAlignment="1">
      <alignment horizontal="center" vertical="center" wrapText="1"/>
      <protection/>
    </xf>
    <xf numFmtId="49" fontId="20" fillId="0" borderId="20" xfId="145" applyNumberFormat="1" applyFont="1" applyFill="1" applyBorder="1" applyAlignment="1">
      <alignment horizontal="center" vertical="center" wrapText="1"/>
      <protection/>
    </xf>
    <xf numFmtId="49" fontId="3" fillId="0" borderId="20" xfId="145" applyNumberFormat="1" applyFont="1" applyBorder="1" applyAlignment="1">
      <alignment horizontal="center"/>
      <protection/>
    </xf>
    <xf numFmtId="49" fontId="14" fillId="0" borderId="0" xfId="145" applyNumberFormat="1" applyFont="1" applyAlignment="1">
      <alignment horizontal="center" wrapText="1"/>
      <protection/>
    </xf>
    <xf numFmtId="49" fontId="18" fillId="0" borderId="22" xfId="145" applyNumberFormat="1" applyFont="1" applyBorder="1" applyAlignment="1">
      <alignment horizontal="left"/>
      <protection/>
    </xf>
    <xf numFmtId="49" fontId="18" fillId="0" borderId="0" xfId="145" applyNumberFormat="1" applyFont="1" applyAlignment="1">
      <alignment horizontal="center"/>
      <protection/>
    </xf>
    <xf numFmtId="49" fontId="55" fillId="3" borderId="26" xfId="145" applyNumberFormat="1" applyFont="1" applyFill="1" applyBorder="1" applyAlignment="1">
      <alignment horizontal="center" wrapText="1"/>
      <protection/>
    </xf>
    <xf numFmtId="49" fontId="55" fillId="3" borderId="25" xfId="145" applyNumberFormat="1" applyFont="1" applyFill="1" applyBorder="1" applyAlignment="1">
      <alignment horizontal="center" wrapText="1"/>
      <protection/>
    </xf>
    <xf numFmtId="49" fontId="54" fillId="3" borderId="26" xfId="145" applyNumberFormat="1" applyFont="1" applyFill="1" applyBorder="1" applyAlignment="1">
      <alignment horizontal="center" wrapText="1"/>
      <protection/>
    </xf>
    <xf numFmtId="49" fontId="54" fillId="3" borderId="25" xfId="145" applyNumberFormat="1" applyFont="1" applyFill="1" applyBorder="1" applyAlignment="1">
      <alignment horizontal="center" wrapText="1"/>
      <protection/>
    </xf>
    <xf numFmtId="49" fontId="18" fillId="0" borderId="0" xfId="145" applyNumberFormat="1" applyFont="1" applyBorder="1" applyAlignment="1">
      <alignment horizontal="left"/>
      <protection/>
    </xf>
    <xf numFmtId="49" fontId="28" fillId="0" borderId="0" xfId="145" applyNumberFormat="1" applyFont="1" applyAlignment="1">
      <alignment horizontal="center"/>
      <protection/>
    </xf>
    <xf numFmtId="49" fontId="0" fillId="0" borderId="0" xfId="145" applyNumberFormat="1" applyFont="1" applyAlignment="1">
      <alignment horizontal="left" wrapText="1"/>
      <protection/>
    </xf>
    <xf numFmtId="49" fontId="3" fillId="0" borderId="0" xfId="145" applyNumberFormat="1" applyFont="1" applyAlignment="1">
      <alignment horizontal="left" wrapText="1"/>
      <protection/>
    </xf>
    <xf numFmtId="49" fontId="0" fillId="0" borderId="0" xfId="145" applyNumberFormat="1" applyFont="1" applyAlignment="1">
      <alignment/>
      <protection/>
    </xf>
    <xf numFmtId="49" fontId="30" fillId="0" borderId="0" xfId="145" applyNumberFormat="1" applyFont="1" applyBorder="1" applyAlignment="1">
      <alignment horizontal="center"/>
      <protection/>
    </xf>
    <xf numFmtId="49" fontId="25" fillId="0" borderId="0" xfId="145" applyNumberFormat="1" applyFont="1" applyBorder="1" applyAlignment="1">
      <alignment horizontal="center"/>
      <protection/>
    </xf>
    <xf numFmtId="49" fontId="7" fillId="0" borderId="35" xfId="145" applyNumberFormat="1" applyFont="1" applyFill="1" applyBorder="1" applyAlignment="1">
      <alignment horizontal="center" vertical="center" wrapText="1"/>
      <protection/>
    </xf>
    <xf numFmtId="49" fontId="7" fillId="0" borderId="36" xfId="145" applyNumberFormat="1" applyFont="1" applyFill="1" applyBorder="1" applyAlignment="1">
      <alignment horizontal="center" vertical="center" wrapText="1"/>
      <protection/>
    </xf>
    <xf numFmtId="49" fontId="7" fillId="0" borderId="24" xfId="145" applyNumberFormat="1" applyFont="1" applyFill="1" applyBorder="1" applyAlignment="1">
      <alignment horizontal="center" vertical="center" wrapText="1"/>
      <protection/>
    </xf>
    <xf numFmtId="49" fontId="7" fillId="0" borderId="39" xfId="145" applyNumberFormat="1" applyFont="1" applyFill="1" applyBorder="1" applyAlignment="1">
      <alignment horizontal="center" vertical="center" wrapText="1"/>
      <protection/>
    </xf>
    <xf numFmtId="49" fontId="7" fillId="0" borderId="27" xfId="145" applyNumberFormat="1" applyFont="1" applyFill="1" applyBorder="1" applyAlignment="1">
      <alignment horizontal="center" vertical="center" wrapText="1"/>
      <protection/>
    </xf>
    <xf numFmtId="49" fontId="7" fillId="0" borderId="37" xfId="145" applyNumberFormat="1" applyFont="1" applyFill="1" applyBorder="1" applyAlignment="1">
      <alignment horizontal="center" vertical="center" wrapText="1"/>
      <protection/>
    </xf>
    <xf numFmtId="49" fontId="13" fillId="0" borderId="0" xfId="145" applyNumberFormat="1" applyFont="1" applyBorder="1" applyAlignment="1">
      <alignment wrapText="1"/>
      <protection/>
    </xf>
    <xf numFmtId="49" fontId="13" fillId="0" borderId="0" xfId="145" applyNumberFormat="1" applyFont="1" applyBorder="1" applyAlignment="1">
      <alignment horizontal="center" wrapText="1"/>
      <protection/>
    </xf>
    <xf numFmtId="49" fontId="7" fillId="44" borderId="26" xfId="145" applyNumberFormat="1" applyFont="1" applyFill="1" applyBorder="1" applyAlignment="1">
      <alignment horizontal="center" vertical="center" wrapText="1"/>
      <protection/>
    </xf>
    <xf numFmtId="49" fontId="7" fillId="44" borderId="25" xfId="145" applyNumberFormat="1" applyFont="1" applyFill="1" applyBorder="1" applyAlignment="1">
      <alignment horizontal="center" vertical="center" wrapText="1"/>
      <protection/>
    </xf>
    <xf numFmtId="49" fontId="16" fillId="0" borderId="26" xfId="145" applyNumberFormat="1" applyFont="1" applyBorder="1" applyAlignment="1">
      <alignment horizontal="center" wrapText="1"/>
      <protection/>
    </xf>
    <xf numFmtId="49" fontId="16" fillId="0" borderId="25" xfId="145" applyNumberFormat="1" applyFont="1" applyBorder="1" applyAlignment="1">
      <alignment horizontal="center" wrapText="1"/>
      <protection/>
    </xf>
    <xf numFmtId="49" fontId="28" fillId="0" borderId="0" xfId="145" applyNumberFormat="1" applyFont="1" applyBorder="1" applyAlignment="1">
      <alignment horizontal="center" wrapText="1"/>
      <protection/>
    </xf>
    <xf numFmtId="49" fontId="6" fillId="0" borderId="20" xfId="147" applyNumberFormat="1" applyFont="1" applyFill="1" applyBorder="1" applyAlignment="1">
      <alignment horizontal="center" vertical="center" wrapText="1"/>
      <protection/>
    </xf>
    <xf numFmtId="49" fontId="84" fillId="3" borderId="26" xfId="147" applyNumberFormat="1" applyFont="1" applyFill="1" applyBorder="1" applyAlignment="1">
      <alignment horizontal="center" vertical="center" wrapText="1"/>
      <protection/>
    </xf>
    <xf numFmtId="49" fontId="84" fillId="3" borderId="25" xfId="147" applyNumberFormat="1" applyFont="1" applyFill="1" applyBorder="1" applyAlignment="1">
      <alignment horizontal="center" vertical="center" wrapText="1"/>
      <protection/>
    </xf>
    <xf numFmtId="49" fontId="6" fillId="0" borderId="25" xfId="147" applyNumberFormat="1" applyFont="1" applyFill="1" applyBorder="1" applyAlignment="1">
      <alignment horizontal="center" vertical="center" wrapText="1"/>
      <protection/>
    </xf>
    <xf numFmtId="49" fontId="3" fillId="0" borderId="0" xfId="147" applyNumberFormat="1" applyFont="1" applyBorder="1" applyAlignment="1">
      <alignment horizontal="left"/>
      <protection/>
    </xf>
    <xf numFmtId="49" fontId="6" fillId="0" borderId="35" xfId="147" applyNumberFormat="1" applyFont="1" applyFill="1" applyBorder="1" applyAlignment="1">
      <alignment horizontal="center" vertical="center"/>
      <protection/>
    </xf>
    <xf numFmtId="49" fontId="6" fillId="0" borderId="36" xfId="147" applyNumberFormat="1" applyFont="1" applyFill="1" applyBorder="1" applyAlignment="1">
      <alignment horizontal="center" vertical="center"/>
      <protection/>
    </xf>
    <xf numFmtId="49" fontId="6" fillId="0" borderId="24" xfId="147" applyNumberFormat="1" applyFont="1" applyFill="1" applyBorder="1" applyAlignment="1">
      <alignment horizontal="center" vertical="center"/>
      <protection/>
    </xf>
    <xf numFmtId="49" fontId="6" fillId="0" borderId="39"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protection/>
    </xf>
    <xf numFmtId="49" fontId="6" fillId="0" borderId="37" xfId="147" applyNumberFormat="1" applyFont="1" applyFill="1" applyBorder="1" applyAlignment="1">
      <alignment horizontal="center" vertical="center"/>
      <protection/>
    </xf>
    <xf numFmtId="49" fontId="14" fillId="0" borderId="0" xfId="147" applyNumberFormat="1" applyFont="1" applyFill="1" applyAlignment="1">
      <alignment horizontal="center" wrapText="1"/>
      <protection/>
    </xf>
    <xf numFmtId="49" fontId="14" fillId="0" borderId="0" xfId="147" applyNumberFormat="1" applyFont="1" applyAlignment="1">
      <alignment horizontal="center"/>
      <protection/>
    </xf>
    <xf numFmtId="49" fontId="4" fillId="0" borderId="0" xfId="147" applyNumberFormat="1" applyFont="1" applyAlignment="1">
      <alignment horizontal="left"/>
      <protection/>
    </xf>
    <xf numFmtId="49" fontId="6" fillId="0" borderId="26" xfId="147" applyNumberFormat="1" applyFont="1" applyFill="1" applyBorder="1" applyAlignment="1">
      <alignment horizontal="center" vertical="center"/>
      <protection/>
    </xf>
    <xf numFmtId="49" fontId="6" fillId="0" borderId="40" xfId="147" applyNumberFormat="1" applyFont="1" applyFill="1" applyBorder="1" applyAlignment="1">
      <alignment horizontal="center" vertical="center"/>
      <protection/>
    </xf>
    <xf numFmtId="49" fontId="3" fillId="0" borderId="0" xfId="147" applyNumberFormat="1" applyFont="1" applyFill="1" applyAlignment="1">
      <alignment horizontal="left"/>
      <protection/>
    </xf>
    <xf numFmtId="49" fontId="32" fillId="0" borderId="0" xfId="147" applyNumberFormat="1" applyFont="1" applyAlignment="1">
      <alignment horizontal="center"/>
      <protection/>
    </xf>
    <xf numFmtId="49" fontId="18" fillId="0" borderId="0" xfId="147" applyNumberFormat="1" applyFont="1" applyBorder="1" applyAlignment="1">
      <alignment horizontal="left"/>
      <protection/>
    </xf>
    <xf numFmtId="49" fontId="6" fillId="0" borderId="26" xfId="147" applyNumberFormat="1" applyFont="1" applyFill="1" applyBorder="1" applyAlignment="1">
      <alignment horizontal="center" vertical="center" wrapText="1"/>
      <protection/>
    </xf>
    <xf numFmtId="49" fontId="85" fillId="3" borderId="26" xfId="147" applyNumberFormat="1" applyFont="1" applyFill="1" applyBorder="1" applyAlignment="1">
      <alignment horizontal="center" vertical="center" wrapText="1"/>
      <protection/>
    </xf>
    <xf numFmtId="49" fontId="85" fillId="3" borderId="25" xfId="147" applyNumberFormat="1" applyFont="1" applyFill="1" applyBorder="1" applyAlignment="1">
      <alignment horizontal="center" vertical="center" wrapText="1"/>
      <protection/>
    </xf>
    <xf numFmtId="49" fontId="28" fillId="0" borderId="0" xfId="147" applyNumberFormat="1" applyFont="1" applyAlignment="1">
      <alignment horizontal="center"/>
      <protection/>
    </xf>
    <xf numFmtId="0" fontId="25" fillId="47" borderId="0" xfId="147" applyFont="1" applyFill="1" applyBorder="1" applyAlignment="1">
      <alignment horizontal="center"/>
      <protection/>
    </xf>
    <xf numFmtId="49" fontId="30" fillId="0" borderId="0" xfId="147" applyNumberFormat="1" applyFont="1" applyAlignment="1">
      <alignment horizontal="center"/>
      <protection/>
    </xf>
    <xf numFmtId="49" fontId="25" fillId="0" borderId="0" xfId="147" applyNumberFormat="1" applyFont="1" applyBorder="1" applyAlignment="1">
      <alignment horizontal="center" wrapText="1"/>
      <protection/>
    </xf>
    <xf numFmtId="49" fontId="6" fillId="0" borderId="26" xfId="147" applyNumberFormat="1" applyFont="1" applyBorder="1" applyAlignment="1">
      <alignment horizontal="center" vertical="center" wrapText="1"/>
      <protection/>
    </xf>
    <xf numFmtId="49" fontId="6" fillId="0" borderId="25" xfId="147" applyNumberFormat="1" applyFont="1" applyBorder="1" applyAlignment="1">
      <alignment horizontal="center" vertical="center" wrapText="1"/>
      <protection/>
    </xf>
    <xf numFmtId="49" fontId="25" fillId="0" borderId="0" xfId="147" applyNumberFormat="1" applyFont="1" applyBorder="1" applyAlignment="1">
      <alignment horizontal="center"/>
      <protection/>
    </xf>
    <xf numFmtId="49" fontId="75" fillId="4" borderId="21" xfId="147" applyNumberFormat="1" applyFont="1" applyFill="1" applyBorder="1" applyAlignment="1">
      <alignment horizontal="center" vertical="center" wrapText="1"/>
      <protection/>
    </xf>
    <xf numFmtId="49" fontId="75" fillId="4" borderId="38" xfId="147" applyNumberFormat="1" applyFont="1" applyFill="1" applyBorder="1" applyAlignment="1">
      <alignment horizontal="center" vertical="center" wrapText="1"/>
      <protection/>
    </xf>
    <xf numFmtId="49" fontId="75" fillId="4" borderId="23" xfId="147" applyNumberFormat="1" applyFont="1" applyFill="1" applyBorder="1" applyAlignment="1">
      <alignment horizontal="center" vertical="center" wrapText="1"/>
      <protection/>
    </xf>
    <xf numFmtId="49" fontId="0" fillId="0" borderId="0" xfId="147" applyNumberFormat="1" applyFont="1" applyAlignment="1">
      <alignment horizontal="left"/>
      <protection/>
    </xf>
    <xf numFmtId="49" fontId="83" fillId="0" borderId="26" xfId="147" applyNumberFormat="1" applyFont="1" applyBorder="1" applyAlignment="1">
      <alignment horizontal="center" vertical="center" wrapText="1"/>
      <protection/>
    </xf>
    <xf numFmtId="49" fontId="83" fillId="0" borderId="25" xfId="147" applyNumberFormat="1" applyFont="1" applyBorder="1" applyAlignment="1">
      <alignment horizontal="center" vertical="center" wrapText="1"/>
      <protection/>
    </xf>
    <xf numFmtId="49" fontId="30" fillId="0" borderId="0" xfId="147" applyNumberFormat="1" applyFont="1" applyBorder="1" applyAlignment="1">
      <alignment horizontal="center" wrapText="1"/>
      <protection/>
    </xf>
    <xf numFmtId="49" fontId="6" fillId="0" borderId="21" xfId="147" applyNumberFormat="1" applyFont="1" applyFill="1" applyBorder="1" applyAlignment="1">
      <alignment horizontal="center" vertical="center" wrapText="1"/>
      <protection/>
    </xf>
    <xf numFmtId="49" fontId="6" fillId="0" borderId="38" xfId="147" applyNumberFormat="1" applyFont="1" applyFill="1" applyBorder="1" applyAlignment="1">
      <alignment horizontal="center" vertical="center" wrapText="1"/>
      <protection/>
    </xf>
    <xf numFmtId="49" fontId="6" fillId="0" borderId="23" xfId="147" applyNumberFormat="1" applyFont="1" applyFill="1" applyBorder="1" applyAlignment="1">
      <alignment horizontal="center" vertical="center" wrapText="1"/>
      <protection/>
    </xf>
    <xf numFmtId="49" fontId="13" fillId="0" borderId="0" xfId="147" applyNumberFormat="1" applyFont="1" applyAlignment="1">
      <alignment horizontal="center"/>
      <protection/>
    </xf>
    <xf numFmtId="49" fontId="30" fillId="0" borderId="0" xfId="147" applyNumberFormat="1" applyFont="1" applyBorder="1" applyAlignment="1">
      <alignment horizontal="center"/>
      <protection/>
    </xf>
    <xf numFmtId="0" fontId="6" fillId="0" borderId="20" xfId="147" applyFont="1" applyBorder="1" applyAlignment="1">
      <alignment horizontal="center" vertical="center" wrapText="1"/>
      <protection/>
    </xf>
    <xf numFmtId="0" fontId="6" fillId="0" borderId="20" xfId="147" applyFont="1" applyBorder="1" applyAlignment="1">
      <alignment horizontal="center" vertical="center"/>
      <protection/>
    </xf>
    <xf numFmtId="0" fontId="6" fillId="0" borderId="20" xfId="147" applyFont="1" applyFill="1" applyBorder="1" applyAlignment="1">
      <alignment horizontal="center" vertical="center" wrapText="1"/>
      <protection/>
    </xf>
    <xf numFmtId="0" fontId="12" fillId="0" borderId="20" xfId="147" applyFont="1" applyBorder="1" applyAlignment="1">
      <alignment horizontal="center" vertical="center" wrapText="1"/>
      <protection/>
    </xf>
    <xf numFmtId="0" fontId="3" fillId="0" borderId="0" xfId="147" applyFont="1" applyBorder="1" applyAlignment="1">
      <alignment horizontal="left"/>
      <protection/>
    </xf>
    <xf numFmtId="0" fontId="0" fillId="0" borderId="0" xfId="147" applyFont="1" applyBorder="1" applyAlignment="1">
      <alignment horizontal="left"/>
      <protection/>
    </xf>
    <xf numFmtId="0" fontId="14" fillId="0" borderId="0" xfId="147" applyFont="1" applyAlignment="1">
      <alignment horizontal="center"/>
      <protection/>
    </xf>
    <xf numFmtId="0" fontId="32" fillId="0" borderId="0" xfId="147" applyFont="1" applyAlignment="1">
      <alignment horizontal="center"/>
      <protection/>
    </xf>
    <xf numFmtId="0" fontId="6" fillId="0" borderId="35" xfId="147" applyFont="1" applyBorder="1" applyAlignment="1">
      <alignment horizontal="center" vertical="center" wrapText="1"/>
      <protection/>
    </xf>
    <xf numFmtId="0" fontId="6" fillId="0" borderId="19" xfId="147" applyFont="1" applyBorder="1" applyAlignment="1">
      <alignment horizontal="center" vertical="center" wrapText="1"/>
      <protection/>
    </xf>
    <xf numFmtId="0" fontId="6" fillId="0" borderId="36" xfId="147" applyFont="1" applyBorder="1" applyAlignment="1">
      <alignment horizontal="center" vertical="center" wrapText="1"/>
      <protection/>
    </xf>
    <xf numFmtId="0" fontId="6" fillId="0" borderId="24" xfId="147" applyFont="1" applyBorder="1" applyAlignment="1">
      <alignment horizontal="center" vertical="center" wrapText="1"/>
      <protection/>
    </xf>
    <xf numFmtId="0" fontId="6" fillId="0" borderId="0" xfId="147" applyFont="1" applyBorder="1" applyAlignment="1">
      <alignment horizontal="center" vertical="center" wrapText="1"/>
      <protection/>
    </xf>
    <xf numFmtId="0" fontId="6" fillId="0" borderId="39" xfId="147" applyFont="1" applyBorder="1" applyAlignment="1">
      <alignment horizontal="center" vertical="center" wrapText="1"/>
      <protection/>
    </xf>
    <xf numFmtId="0" fontId="6" fillId="0" borderId="25" xfId="147" applyFont="1" applyBorder="1" applyAlignment="1">
      <alignment horizontal="center" vertical="center" wrapText="1"/>
      <protection/>
    </xf>
    <xf numFmtId="0" fontId="6" fillId="0" borderId="40" xfId="147" applyFont="1" applyBorder="1" applyAlignment="1">
      <alignment horizontal="center" vertical="center"/>
      <protection/>
    </xf>
    <xf numFmtId="0" fontId="6" fillId="0" borderId="25" xfId="147" applyFont="1" applyBorder="1" applyAlignment="1">
      <alignment horizontal="center" vertical="center"/>
      <protection/>
    </xf>
    <xf numFmtId="0" fontId="3" fillId="0" borderId="0" xfId="147" applyNumberFormat="1" applyFont="1" applyAlignment="1">
      <alignment horizontal="left"/>
      <protection/>
    </xf>
    <xf numFmtId="0" fontId="0" fillId="0" borderId="0" xfId="147" applyFont="1" applyAlignment="1">
      <alignment horizontal="left"/>
      <protection/>
    </xf>
    <xf numFmtId="0" fontId="0" fillId="0" borderId="0" xfId="147" applyFont="1" applyBorder="1" applyAlignment="1">
      <alignment/>
      <protection/>
    </xf>
    <xf numFmtId="0" fontId="14" fillId="0" borderId="0" xfId="147" applyFont="1" applyAlignment="1">
      <alignment horizontal="center" wrapText="1"/>
      <protection/>
    </xf>
    <xf numFmtId="0" fontId="13" fillId="0" borderId="0" xfId="147" applyFont="1" applyBorder="1" applyAlignment="1">
      <alignment horizontal="center"/>
      <protection/>
    </xf>
    <xf numFmtId="3" fontId="0" fillId="47" borderId="0" xfId="147" applyNumberFormat="1" applyFont="1" applyFill="1" applyBorder="1" applyAlignment="1">
      <alignment horizontal="left"/>
      <protection/>
    </xf>
    <xf numFmtId="0" fontId="13" fillId="0" borderId="22" xfId="147" applyFont="1" applyBorder="1" applyAlignment="1">
      <alignment horizontal="left"/>
      <protection/>
    </xf>
    <xf numFmtId="0" fontId="6" fillId="0" borderId="26" xfId="147" applyFont="1" applyBorder="1" applyAlignment="1">
      <alignment horizontal="center" vertical="center"/>
      <protection/>
    </xf>
    <xf numFmtId="0" fontId="30" fillId="0" borderId="0" xfId="147" applyNumberFormat="1" applyFont="1" applyBorder="1" applyAlignment="1">
      <alignment horizontal="center"/>
      <protection/>
    </xf>
    <xf numFmtId="0" fontId="30" fillId="0" borderId="0" xfId="147" applyFont="1" applyBorder="1" applyAlignment="1">
      <alignment horizontal="center" wrapText="1"/>
      <protection/>
    </xf>
    <xf numFmtId="0" fontId="25" fillId="0" borderId="0" xfId="147" applyFont="1" applyBorder="1" applyAlignment="1">
      <alignment horizontal="center" wrapText="1"/>
      <protection/>
    </xf>
    <xf numFmtId="0" fontId="66" fillId="3" borderId="26" xfId="147" applyFont="1" applyFill="1" applyBorder="1" applyAlignment="1">
      <alignment horizontal="center" vertical="center" wrapText="1"/>
      <protection/>
    </xf>
    <xf numFmtId="0" fontId="66" fillId="3" borderId="25" xfId="147" applyFont="1" applyFill="1" applyBorder="1" applyAlignment="1">
      <alignment horizontal="center" vertical="center" wrapText="1"/>
      <protection/>
    </xf>
    <xf numFmtId="0" fontId="25" fillId="0" borderId="0" xfId="147" applyNumberFormat="1" applyFont="1" applyBorder="1" applyAlignment="1">
      <alignment horizontal="center"/>
      <protection/>
    </xf>
    <xf numFmtId="0" fontId="67" fillId="3" borderId="26" xfId="147" applyFont="1" applyFill="1" applyBorder="1" applyAlignment="1">
      <alignment horizontal="center" vertical="center" wrapText="1"/>
      <protection/>
    </xf>
    <xf numFmtId="0" fontId="67" fillId="3" borderId="25" xfId="147" applyFont="1" applyFill="1" applyBorder="1" applyAlignment="1">
      <alignment horizontal="center" vertical="center" wrapText="1"/>
      <protection/>
    </xf>
    <xf numFmtId="0" fontId="87" fillId="0" borderId="0" xfId="147" applyFont="1" applyAlignment="1">
      <alignment horizontal="center"/>
      <protection/>
    </xf>
    <xf numFmtId="0" fontId="6" fillId="0" borderId="26" xfId="147" applyFont="1" applyBorder="1" applyAlignment="1">
      <alignment horizontal="center" vertical="center" wrapText="1"/>
      <protection/>
    </xf>
    <xf numFmtId="0" fontId="6" fillId="0" borderId="21" xfId="147" applyFont="1" applyBorder="1" applyAlignment="1">
      <alignment horizontal="center" vertical="center" wrapText="1"/>
      <protection/>
    </xf>
    <xf numFmtId="0" fontId="6" fillId="0" borderId="38" xfId="147" applyFont="1" applyBorder="1" applyAlignment="1">
      <alignment horizontal="center" vertical="center" wrapText="1"/>
      <protection/>
    </xf>
    <xf numFmtId="0" fontId="6" fillId="0" borderId="23" xfId="147" applyFont="1" applyBorder="1" applyAlignment="1">
      <alignment horizontal="center" vertical="center" wrapText="1"/>
      <protection/>
    </xf>
    <xf numFmtId="0" fontId="21" fillId="0" borderId="26" xfId="147" applyFont="1" applyBorder="1" applyAlignment="1">
      <alignment horizontal="center" vertical="center" wrapText="1"/>
      <protection/>
    </xf>
    <xf numFmtId="0" fontId="21" fillId="0" borderId="25" xfId="147" applyFont="1" applyBorder="1" applyAlignment="1">
      <alignment horizontal="center" vertical="center" wrapText="1"/>
      <protection/>
    </xf>
    <xf numFmtId="49" fontId="6" fillId="0" borderId="19" xfId="147" applyNumberFormat="1" applyFont="1" applyFill="1" applyBorder="1" applyAlignment="1">
      <alignment horizontal="center" vertical="center"/>
      <protection/>
    </xf>
    <xf numFmtId="49" fontId="6" fillId="0" borderId="0" xfId="147" applyNumberFormat="1" applyFont="1" applyFill="1" applyBorder="1" applyAlignment="1">
      <alignment horizontal="center" vertical="center"/>
      <protection/>
    </xf>
    <xf numFmtId="49" fontId="6" fillId="0" borderId="22" xfId="147" applyNumberFormat="1" applyFont="1" applyFill="1" applyBorder="1" applyAlignment="1">
      <alignment horizontal="center" vertical="center"/>
      <protection/>
    </xf>
    <xf numFmtId="49" fontId="78" fillId="0" borderId="0" xfId="147" applyNumberFormat="1" applyFont="1" applyAlignment="1">
      <alignment horizontal="center"/>
      <protection/>
    </xf>
    <xf numFmtId="49" fontId="6" fillId="0" borderId="20" xfId="147" applyNumberFormat="1" applyFont="1" applyFill="1" applyBorder="1" applyAlignment="1">
      <alignment horizontal="center" vertical="center"/>
      <protection/>
    </xf>
    <xf numFmtId="49" fontId="76" fillId="3" borderId="26" xfId="147" applyNumberFormat="1" applyFont="1" applyFill="1" applyBorder="1" applyAlignment="1">
      <alignment horizontal="center" vertical="center" wrapText="1"/>
      <protection/>
    </xf>
    <xf numFmtId="49" fontId="76" fillId="3" borderId="25" xfId="147" applyNumberFormat="1" applyFont="1" applyFill="1" applyBorder="1" applyAlignment="1">
      <alignment horizontal="center" vertical="center" wrapText="1"/>
      <protection/>
    </xf>
    <xf numFmtId="49" fontId="74" fillId="3" borderId="26" xfId="147" applyNumberFormat="1" applyFont="1" applyFill="1" applyBorder="1" applyAlignment="1">
      <alignment horizontal="center" vertical="center" wrapText="1"/>
      <protection/>
    </xf>
    <xf numFmtId="49" fontId="74" fillId="3" borderId="25" xfId="147" applyNumberFormat="1" applyFont="1" applyFill="1" applyBorder="1" applyAlignment="1">
      <alignment horizontal="center" vertical="center" wrapText="1"/>
      <protection/>
    </xf>
    <xf numFmtId="49" fontId="3" fillId="0" borderId="0" xfId="147" applyNumberFormat="1" applyFont="1" applyAlignment="1">
      <alignment horizontal="left"/>
      <protection/>
    </xf>
    <xf numFmtId="49" fontId="5" fillId="0" borderId="0" xfId="147" applyNumberFormat="1" applyFont="1" applyBorder="1" applyAlignment="1">
      <alignment horizontal="left" wrapText="1"/>
      <protection/>
    </xf>
    <xf numFmtId="49" fontId="5" fillId="0" borderId="0" xfId="147" applyNumberFormat="1" applyFont="1" applyBorder="1" applyAlignment="1">
      <alignment horizontal="left"/>
      <protection/>
    </xf>
    <xf numFmtId="49" fontId="14" fillId="0" borderId="0" xfId="147" applyNumberFormat="1" applyFont="1" applyAlignment="1">
      <alignment horizontal="center" wrapText="1"/>
      <protection/>
    </xf>
    <xf numFmtId="49" fontId="0" fillId="47" borderId="0" xfId="147" applyNumberFormat="1" applyFont="1" applyFill="1" applyBorder="1" applyAlignment="1">
      <alignment horizontal="left" vertical="top" wrapText="1"/>
      <protection/>
    </xf>
    <xf numFmtId="49" fontId="3" fillId="47" borderId="0" xfId="147" applyNumberFormat="1" applyFont="1" applyFill="1" applyBorder="1" applyAlignment="1">
      <alignment horizontal="left" vertical="top" wrapText="1"/>
      <protection/>
    </xf>
    <xf numFmtId="49" fontId="0" fillId="0" borderId="0" xfId="147" applyNumberFormat="1" applyFont="1" applyAlignment="1">
      <alignment horizontal="justify" vertical="top"/>
      <protection/>
    </xf>
    <xf numFmtId="49" fontId="0" fillId="0" borderId="0" xfId="147" applyNumberFormat="1" applyFont="1" applyBorder="1" applyAlignment="1">
      <alignment horizontal="justify" vertical="top" wrapText="1"/>
      <protection/>
    </xf>
    <xf numFmtId="49" fontId="0" fillId="0" borderId="0" xfId="147" applyNumberFormat="1" applyFont="1" applyBorder="1" applyAlignment="1">
      <alignment horizontal="justify" vertical="top"/>
      <protection/>
    </xf>
    <xf numFmtId="49" fontId="18" fillId="0" borderId="0" xfId="147" applyNumberFormat="1" applyFont="1" applyAlignment="1">
      <alignment horizontal="center" wrapText="1"/>
      <protection/>
    </xf>
    <xf numFmtId="49" fontId="19" fillId="0" borderId="22" xfId="147" applyNumberFormat="1" applyFont="1" applyBorder="1" applyAlignment="1">
      <alignment horizontal="center"/>
      <protection/>
    </xf>
    <xf numFmtId="49" fontId="73" fillId="0" borderId="20" xfId="147" applyNumberFormat="1" applyFont="1" applyBorder="1" applyAlignment="1">
      <alignment horizontal="center" vertical="center" wrapText="1"/>
      <protection/>
    </xf>
    <xf numFmtId="49" fontId="12" fillId="0" borderId="20" xfId="147" applyNumberFormat="1" applyFont="1" applyBorder="1" applyAlignment="1">
      <alignment horizontal="center" vertical="center" wrapText="1"/>
      <protection/>
    </xf>
    <xf numFmtId="49" fontId="7" fillId="0" borderId="0" xfId="147" applyNumberFormat="1" applyFont="1" applyAlignment="1">
      <alignment horizontal="left"/>
      <protection/>
    </xf>
    <xf numFmtId="49" fontId="13" fillId="0" borderId="0" xfId="147" applyNumberFormat="1" applyFont="1" applyBorder="1" applyAlignment="1">
      <alignment horizontal="left"/>
      <protection/>
    </xf>
    <xf numFmtId="49" fontId="7" fillId="0" borderId="26" xfId="147" applyNumberFormat="1" applyFont="1" applyBorder="1" applyAlignment="1">
      <alignment horizontal="center" vertical="center" wrapText="1"/>
      <protection/>
    </xf>
    <xf numFmtId="49" fontId="7" fillId="0" borderId="25" xfId="147" applyNumberFormat="1" applyFont="1" applyBorder="1" applyAlignment="1">
      <alignment horizontal="center" vertical="center" wrapText="1"/>
      <protection/>
    </xf>
    <xf numFmtId="49" fontId="4" fillId="0" borderId="0" xfId="147" applyNumberFormat="1" applyFont="1" applyAlignment="1">
      <alignment/>
      <protection/>
    </xf>
    <xf numFmtId="49" fontId="0" fillId="0" borderId="0" xfId="147" applyNumberFormat="1" applyFont="1" applyBorder="1" applyAlignment="1">
      <alignment horizontal="left"/>
      <protection/>
    </xf>
    <xf numFmtId="49" fontId="19" fillId="0" borderId="26" xfId="147" applyNumberFormat="1" applyFont="1" applyBorder="1" applyAlignment="1">
      <alignment horizontal="center" vertical="center" wrapText="1"/>
      <protection/>
    </xf>
    <xf numFmtId="49" fontId="19" fillId="0" borderId="25" xfId="147" applyNumberFormat="1" applyFont="1" applyBorder="1" applyAlignment="1">
      <alignment horizontal="center" vertical="center" wrapText="1"/>
      <protection/>
    </xf>
    <xf numFmtId="49" fontId="89" fillId="3" borderId="26" xfId="147" applyNumberFormat="1" applyFont="1" applyFill="1" applyBorder="1" applyAlignment="1">
      <alignment horizontal="center" vertical="center" wrapText="1"/>
      <protection/>
    </xf>
    <xf numFmtId="49" fontId="89" fillId="3" borderId="25" xfId="147" applyNumberFormat="1" applyFont="1" applyFill="1" applyBorder="1" applyAlignment="1">
      <alignment horizontal="center" vertical="center" wrapText="1"/>
      <protection/>
    </xf>
    <xf numFmtId="49" fontId="88" fillId="3" borderId="26" xfId="147" applyNumberFormat="1" applyFont="1" applyFill="1" applyBorder="1" applyAlignment="1">
      <alignment horizontal="center" vertical="center" wrapText="1"/>
      <protection/>
    </xf>
    <xf numFmtId="49" fontId="88" fillId="3" borderId="25" xfId="147" applyNumberFormat="1" applyFont="1" applyFill="1" applyBorder="1" applyAlignment="1">
      <alignment horizontal="center" vertical="center" wrapText="1"/>
      <protection/>
    </xf>
    <xf numFmtId="49" fontId="6" fillId="0" borderId="21" xfId="147" applyNumberFormat="1" applyFont="1" applyBorder="1" applyAlignment="1">
      <alignment horizontal="center" vertical="center" wrapText="1"/>
      <protection/>
    </xf>
    <xf numFmtId="49" fontId="6" fillId="0" borderId="23" xfId="147" applyNumberFormat="1" applyFont="1" applyBorder="1" applyAlignment="1">
      <alignment horizontal="center" vertical="center" wrapText="1"/>
      <protection/>
    </xf>
    <xf numFmtId="49" fontId="6" fillId="0" borderId="38" xfId="147" applyNumberFormat="1" applyFont="1" applyBorder="1" applyAlignment="1">
      <alignment horizontal="center" vertical="center" wrapText="1"/>
      <protection/>
    </xf>
    <xf numFmtId="49" fontId="6" fillId="0" borderId="40" xfId="147" applyNumberFormat="1" applyFont="1" applyBorder="1" applyAlignment="1">
      <alignment horizontal="center" vertical="center" wrapText="1"/>
      <protection/>
    </xf>
    <xf numFmtId="49" fontId="19" fillId="0" borderId="0" xfId="147" applyNumberFormat="1" applyFont="1" applyAlignment="1">
      <alignment horizontal="center"/>
      <protection/>
    </xf>
    <xf numFmtId="49" fontId="18" fillId="0" borderId="22" xfId="147" applyNumberFormat="1" applyFont="1" applyBorder="1" applyAlignment="1">
      <alignment horizontal="left"/>
      <protection/>
    </xf>
    <xf numFmtId="49" fontId="30" fillId="0" borderId="0" xfId="147" applyNumberFormat="1" applyFont="1" applyBorder="1" applyAlignment="1">
      <alignment horizontal="left" wrapText="1"/>
      <protection/>
    </xf>
    <xf numFmtId="49" fontId="0" fillId="0" borderId="0" xfId="147" applyNumberFormat="1" applyFont="1" applyFill="1" applyAlignment="1">
      <alignment horizontal="left"/>
      <protection/>
    </xf>
    <xf numFmtId="49" fontId="6" fillId="0" borderId="40" xfId="147" applyNumberFormat="1" applyFont="1" applyFill="1" applyBorder="1" applyAlignment="1">
      <alignment horizontal="center" vertical="center" wrapText="1"/>
      <protection/>
    </xf>
    <xf numFmtId="49" fontId="88" fillId="3" borderId="26" xfId="147" applyNumberFormat="1" applyFont="1" applyFill="1" applyBorder="1" applyAlignment="1">
      <alignment horizontal="center" vertical="center"/>
      <protection/>
    </xf>
    <xf numFmtId="49" fontId="88" fillId="3" borderId="25"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wrapText="1"/>
      <protection/>
    </xf>
    <xf numFmtId="49" fontId="6" fillId="0" borderId="37" xfId="147" applyNumberFormat="1" applyFont="1" applyFill="1" applyBorder="1" applyAlignment="1">
      <alignment horizontal="center" vertical="center" wrapText="1"/>
      <protection/>
    </xf>
    <xf numFmtId="49" fontId="19" fillId="0" borderId="26" xfId="147" applyNumberFormat="1" applyFont="1" applyFill="1" applyBorder="1" applyAlignment="1">
      <alignment horizontal="center" vertical="center"/>
      <protection/>
    </xf>
    <xf numFmtId="49" fontId="19" fillId="0" borderId="25" xfId="147" applyNumberFormat="1" applyFont="1" applyFill="1" applyBorder="1" applyAlignment="1">
      <alignment horizontal="center" vertical="center"/>
      <protection/>
    </xf>
    <xf numFmtId="49" fontId="6" fillId="47" borderId="26" xfId="147" applyNumberFormat="1" applyFont="1" applyFill="1" applyBorder="1" applyAlignment="1">
      <alignment horizontal="center" vertical="center"/>
      <protection/>
    </xf>
    <xf numFmtId="49" fontId="6" fillId="47" borderId="25" xfId="147" applyNumberFormat="1" applyFont="1" applyFill="1" applyBorder="1" applyAlignment="1">
      <alignment horizontal="center" vertical="center"/>
      <protection/>
    </xf>
    <xf numFmtId="49" fontId="6" fillId="0" borderId="35" xfId="147" applyNumberFormat="1" applyFont="1" applyFill="1" applyBorder="1" applyAlignment="1">
      <alignment horizontal="center" vertical="center" wrapText="1"/>
      <protection/>
    </xf>
    <xf numFmtId="49" fontId="6" fillId="0" borderId="36" xfId="147" applyNumberFormat="1" applyFont="1" applyFill="1" applyBorder="1" applyAlignment="1">
      <alignment horizontal="center" vertical="center" wrapText="1"/>
      <protection/>
    </xf>
    <xf numFmtId="49" fontId="6" fillId="0" borderId="24" xfId="147" applyNumberFormat="1" applyFont="1" applyFill="1" applyBorder="1" applyAlignment="1">
      <alignment horizontal="center" vertical="center" wrapText="1"/>
      <protection/>
    </xf>
    <xf numFmtId="49" fontId="6" fillId="0" borderId="39" xfId="147" applyNumberFormat="1" applyFont="1" applyFill="1" applyBorder="1" applyAlignment="1">
      <alignment horizontal="center" vertical="center" wrapText="1"/>
      <protection/>
    </xf>
    <xf numFmtId="49" fontId="28" fillId="0" borderId="0" xfId="147" applyNumberFormat="1" applyFont="1" applyAlignment="1">
      <alignment horizontal="center"/>
      <protection/>
    </xf>
    <xf numFmtId="0" fontId="81" fillId="0" borderId="40" xfId="147" applyFont="1" applyFill="1" applyBorder="1" applyAlignment="1">
      <alignment horizontal="center" vertical="center" wrapText="1"/>
      <protection/>
    </xf>
    <xf numFmtId="0" fontId="81" fillId="0" borderId="25" xfId="147" applyFont="1" applyFill="1" applyBorder="1" applyAlignment="1">
      <alignment horizontal="center" vertical="center" wrapText="1"/>
      <protection/>
    </xf>
    <xf numFmtId="49" fontId="18" fillId="0" borderId="0" xfId="147" applyNumberFormat="1" applyFont="1" applyFill="1" applyBorder="1" applyAlignment="1">
      <alignment horizontal="left"/>
      <protection/>
    </xf>
    <xf numFmtId="49" fontId="89" fillId="3" borderId="26" xfId="147" applyNumberFormat="1" applyFont="1" applyFill="1" applyBorder="1" applyAlignment="1">
      <alignment horizontal="center" vertical="center"/>
      <protection/>
    </xf>
    <xf numFmtId="49" fontId="89" fillId="3" borderId="25" xfId="147" applyNumberFormat="1" applyFont="1" applyFill="1" applyBorder="1" applyAlignment="1">
      <alignment horizontal="center" vertical="center"/>
      <protection/>
    </xf>
    <xf numFmtId="49" fontId="13" fillId="0" borderId="22" xfId="147" applyNumberFormat="1" applyFont="1" applyFill="1" applyBorder="1" applyAlignment="1">
      <alignment horizontal="center" vertical="center"/>
      <protection/>
    </xf>
    <xf numFmtId="0" fontId="14" fillId="0" borderId="0" xfId="147" applyNumberFormat="1" applyFont="1" applyAlignment="1">
      <alignment horizontal="center"/>
      <protection/>
    </xf>
    <xf numFmtId="0" fontId="32" fillId="0" borderId="0" xfId="147" applyNumberFormat="1" applyFont="1" applyAlignment="1">
      <alignment horizontal="center"/>
      <protection/>
    </xf>
    <xf numFmtId="0" fontId="23" fillId="0" borderId="0" xfId="147" applyNumberFormat="1" applyFont="1" applyAlignment="1">
      <alignment horizontal="center"/>
      <protection/>
    </xf>
    <xf numFmtId="0" fontId="7" fillId="0" borderId="20" xfId="147" applyFont="1" applyFill="1" applyBorder="1" applyAlignment="1">
      <alignment horizontal="center" vertical="center" wrapText="1"/>
      <protection/>
    </xf>
    <xf numFmtId="0" fontId="18" fillId="0" borderId="0" xfId="147" applyFont="1" applyBorder="1" applyAlignment="1">
      <alignment horizontal="left"/>
      <protection/>
    </xf>
    <xf numFmtId="0" fontId="13" fillId="0" borderId="0" xfId="147" applyFont="1" applyAlignment="1">
      <alignment horizontal="center"/>
      <protection/>
    </xf>
    <xf numFmtId="49" fontId="30" fillId="0" borderId="0" xfId="147" applyNumberFormat="1" applyFont="1" applyBorder="1" applyAlignment="1">
      <alignment horizontal="justify" vertical="justify" wrapText="1"/>
      <protection/>
    </xf>
    <xf numFmtId="0" fontId="28" fillId="47" borderId="0" xfId="147" applyFont="1" applyFill="1" applyBorder="1" applyAlignment="1">
      <alignment horizontal="center"/>
      <protection/>
    </xf>
    <xf numFmtId="49" fontId="7" fillId="0" borderId="35" xfId="147" applyNumberFormat="1" applyFont="1" applyFill="1" applyBorder="1" applyAlignment="1">
      <alignment horizontal="center" vertical="center"/>
      <protection/>
    </xf>
    <xf numFmtId="49" fontId="7" fillId="0" borderId="36" xfId="147" applyNumberFormat="1" applyFont="1" applyFill="1" applyBorder="1" applyAlignment="1">
      <alignment horizontal="center" vertical="center"/>
      <protection/>
    </xf>
    <xf numFmtId="49" fontId="7" fillId="0" borderId="24" xfId="147" applyNumberFormat="1" applyFont="1" applyFill="1" applyBorder="1" applyAlignment="1">
      <alignment horizontal="center" vertical="center"/>
      <protection/>
    </xf>
    <xf numFmtId="49" fontId="7" fillId="0" borderId="39" xfId="147" applyNumberFormat="1" applyFont="1" applyFill="1" applyBorder="1" applyAlignment="1">
      <alignment horizontal="center" vertical="center"/>
      <protection/>
    </xf>
    <xf numFmtId="49" fontId="7" fillId="0" borderId="27" xfId="147" applyNumberFormat="1" applyFont="1" applyFill="1" applyBorder="1" applyAlignment="1">
      <alignment horizontal="center" vertical="center"/>
      <protection/>
    </xf>
    <xf numFmtId="49" fontId="7" fillId="0" borderId="37" xfId="147" applyNumberFormat="1" applyFont="1" applyFill="1" applyBorder="1" applyAlignment="1">
      <alignment horizontal="center" vertical="center"/>
      <protection/>
    </xf>
    <xf numFmtId="0" fontId="25" fillId="0" borderId="0" xfId="147"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0"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5" fillId="50" borderId="0" xfId="0" applyNumberFormat="1" applyFont="1" applyFill="1" applyAlignment="1">
      <alignment horizontal="center"/>
    </xf>
    <xf numFmtId="0" fontId="4" fillId="50" borderId="0" xfId="0" applyNumberFormat="1" applyFont="1" applyFill="1" applyAlignment="1">
      <alignment horizontal="left"/>
    </xf>
    <xf numFmtId="49" fontId="24" fillId="50" borderId="20" xfId="0" applyNumberFormat="1" applyFont="1" applyFill="1" applyBorder="1" applyAlignment="1">
      <alignment horizontal="center" vertical="center" wrapText="1"/>
    </xf>
    <xf numFmtId="0" fontId="0" fillId="50" borderId="0" xfId="0" applyNumberFormat="1" applyFont="1" applyFill="1" applyBorder="1" applyAlignment="1">
      <alignment wrapText="1"/>
    </xf>
    <xf numFmtId="49" fontId="14"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4" fillId="50" borderId="0" xfId="0" applyNumberFormat="1" applyFont="1" applyFill="1" applyAlignment="1">
      <alignment horizontal="center" wrapText="1"/>
    </xf>
    <xf numFmtId="3" fontId="15" fillId="50" borderId="0" xfId="0" applyNumberFormat="1" applyFont="1" applyFill="1" applyAlignment="1">
      <alignment horizontal="center"/>
    </xf>
    <xf numFmtId="0" fontId="0" fillId="50" borderId="22" xfId="0" applyNumberFormat="1" applyFont="1" applyFill="1" applyBorder="1" applyAlignment="1">
      <alignment/>
    </xf>
    <xf numFmtId="0" fontId="12" fillId="50" borderId="35" xfId="0" applyNumberFormat="1" applyFont="1" applyFill="1" applyBorder="1" applyAlignment="1">
      <alignment horizontal="center" vertical="center" wrapText="1"/>
    </xf>
    <xf numFmtId="0" fontId="12" fillId="50" borderId="36" xfId="0" applyNumberFormat="1" applyFont="1" applyFill="1" applyBorder="1" applyAlignment="1">
      <alignment horizontal="center" vertical="center" wrapText="1"/>
    </xf>
    <xf numFmtId="0" fontId="12" fillId="50" borderId="24" xfId="0" applyNumberFormat="1" applyFont="1" applyFill="1" applyBorder="1" applyAlignment="1">
      <alignment horizontal="center" vertical="center" wrapText="1"/>
    </xf>
    <xf numFmtId="0" fontId="12" fillId="50" borderId="39" xfId="0" applyNumberFormat="1" applyFont="1" applyFill="1" applyBorder="1" applyAlignment="1">
      <alignment horizontal="center" vertical="center" wrapText="1"/>
    </xf>
    <xf numFmtId="0" fontId="12" fillId="50" borderId="27" xfId="0" applyNumberFormat="1" applyFont="1" applyFill="1" applyBorder="1" applyAlignment="1">
      <alignment horizontal="center" vertical="center" wrapText="1"/>
    </xf>
    <xf numFmtId="0" fontId="12" fillId="50" borderId="37" xfId="0" applyNumberFormat="1" applyFont="1" applyFill="1" applyBorder="1" applyAlignment="1">
      <alignment horizontal="center" vertical="center" wrapText="1"/>
    </xf>
    <xf numFmtId="49" fontId="12" fillId="50" borderId="26" xfId="0" applyNumberFormat="1" applyFont="1" applyFill="1" applyBorder="1" applyAlignment="1" applyProtection="1">
      <alignment horizontal="center" vertical="center" wrapText="1"/>
      <protection/>
    </xf>
    <xf numFmtId="49" fontId="12" fillId="50" borderId="40" xfId="0" applyNumberFormat="1" applyFont="1" applyFill="1" applyBorder="1" applyAlignment="1">
      <alignment horizontal="center" vertical="center" wrapText="1"/>
    </xf>
    <xf numFmtId="49" fontId="12" fillId="50" borderId="25" xfId="0" applyNumberFormat="1" applyFont="1" applyFill="1" applyBorder="1" applyAlignment="1">
      <alignment horizontal="center" vertical="center" wrapText="1"/>
    </xf>
    <xf numFmtId="49" fontId="24" fillId="50" borderId="35" xfId="0" applyNumberFormat="1" applyFont="1" applyFill="1" applyBorder="1" applyAlignment="1">
      <alignment horizontal="center" vertical="center" wrapText="1"/>
    </xf>
    <xf numFmtId="49" fontId="24" fillId="50" borderId="24" xfId="0" applyNumberFormat="1" applyFont="1" applyFill="1" applyBorder="1" applyAlignment="1">
      <alignment horizontal="center" vertical="center" wrapText="1"/>
    </xf>
    <xf numFmtId="49" fontId="24" fillId="50" borderId="27" xfId="0" applyNumberFormat="1" applyFont="1" applyFill="1" applyBorder="1" applyAlignment="1">
      <alignment horizontal="center" vertical="center" wrapText="1"/>
    </xf>
    <xf numFmtId="49" fontId="24" fillId="50" borderId="21" xfId="0" applyNumberFormat="1" applyFont="1" applyFill="1" applyBorder="1" applyAlignment="1">
      <alignment horizontal="center" vertical="center" wrapText="1"/>
    </xf>
    <xf numFmtId="49" fontId="24" fillId="50" borderId="38" xfId="0" applyNumberFormat="1" applyFont="1" applyFill="1" applyBorder="1" applyAlignment="1">
      <alignment horizontal="center" vertical="center" wrapText="1"/>
    </xf>
    <xf numFmtId="49" fontId="24" fillId="50" borderId="23" xfId="0" applyNumberFormat="1" applyFont="1" applyFill="1" applyBorder="1" applyAlignment="1">
      <alignment horizontal="center" vertical="center" wrapText="1"/>
    </xf>
    <xf numFmtId="1" fontId="12" fillId="50" borderId="26" xfId="0" applyNumberFormat="1" applyFont="1" applyFill="1" applyBorder="1" applyAlignment="1">
      <alignment horizontal="center" vertical="center"/>
    </xf>
    <xf numFmtId="1" fontId="12" fillId="50" borderId="40" xfId="0" applyNumberFormat="1" applyFont="1" applyFill="1" applyBorder="1" applyAlignment="1">
      <alignment horizontal="center" vertical="center"/>
    </xf>
    <xf numFmtId="1" fontId="12" fillId="50" borderId="25" xfId="0" applyNumberFormat="1" applyFont="1" applyFill="1" applyBorder="1" applyAlignment="1">
      <alignment horizontal="center" vertical="center"/>
    </xf>
    <xf numFmtId="49" fontId="24" fillId="50" borderId="21" xfId="0" applyNumberFormat="1" applyFont="1" applyFill="1" applyBorder="1" applyAlignment="1" applyProtection="1">
      <alignment horizontal="center" vertical="center" wrapText="1"/>
      <protection/>
    </xf>
    <xf numFmtId="49" fontId="24" fillId="50" borderId="25" xfId="0" applyNumberFormat="1" applyFont="1" applyFill="1" applyBorder="1" applyAlignment="1" applyProtection="1">
      <alignment horizontal="center" vertical="center" wrapText="1"/>
      <protection/>
    </xf>
    <xf numFmtId="49" fontId="24" fillId="50" borderId="20" xfId="0" applyNumberFormat="1" applyFont="1" applyFill="1" applyBorder="1" applyAlignment="1" applyProtection="1">
      <alignment horizontal="center" vertical="center" wrapText="1"/>
      <protection/>
    </xf>
    <xf numFmtId="49" fontId="176" fillId="50" borderId="26" xfId="0" applyNumberFormat="1" applyFont="1" applyFill="1" applyBorder="1" applyAlignment="1" applyProtection="1">
      <alignment horizontal="center" vertical="center" wrapText="1"/>
      <protection/>
    </xf>
    <xf numFmtId="49" fontId="176" fillId="50" borderId="25" xfId="0" applyNumberFormat="1" applyFont="1" applyFill="1" applyBorder="1" applyAlignment="1" applyProtection="1">
      <alignment horizontal="center" vertical="center" wrapText="1"/>
      <protection/>
    </xf>
    <xf numFmtId="0" fontId="23" fillId="50" borderId="19" xfId="0" applyNumberFormat="1" applyFont="1" applyFill="1" applyBorder="1" applyAlignment="1">
      <alignment horizontal="center" vertical="center"/>
    </xf>
    <xf numFmtId="49" fontId="24" fillId="50" borderId="35"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lignment horizontal="center" vertical="center" wrapText="1"/>
    </xf>
    <xf numFmtId="49" fontId="24" fillId="50" borderId="37" xfId="0" applyNumberFormat="1" applyFont="1" applyFill="1" applyBorder="1" applyAlignment="1">
      <alignment horizontal="center" vertical="center" wrapText="1"/>
    </xf>
    <xf numFmtId="49" fontId="24" fillId="50" borderId="19"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pplyProtection="1">
      <alignment horizontal="center" vertical="center" wrapText="1"/>
      <protection/>
    </xf>
    <xf numFmtId="49" fontId="24" fillId="50" borderId="39" xfId="0" applyNumberFormat="1" applyFont="1" applyFill="1" applyBorder="1" applyAlignment="1">
      <alignment horizontal="center" vertical="center" wrapText="1"/>
    </xf>
    <xf numFmtId="49" fontId="24" fillId="50" borderId="26" xfId="0" applyNumberFormat="1" applyFont="1" applyFill="1" applyBorder="1" applyAlignment="1" applyProtection="1">
      <alignment horizontal="center" vertical="center" wrapText="1"/>
      <protection/>
    </xf>
    <xf numFmtId="49" fontId="24" fillId="50" borderId="40" xfId="0" applyNumberFormat="1" applyFont="1" applyFill="1" applyBorder="1" applyAlignment="1" applyProtection="1">
      <alignment horizontal="center" vertical="center" wrapText="1"/>
      <protection/>
    </xf>
    <xf numFmtId="49" fontId="14" fillId="50" borderId="0" xfId="0" applyNumberFormat="1" applyFont="1" applyFill="1" applyBorder="1" applyAlignment="1">
      <alignment horizontal="center" vertical="center"/>
    </xf>
    <xf numFmtId="49" fontId="4" fillId="50" borderId="0" xfId="0" applyNumberFormat="1" applyFont="1" applyFill="1" applyAlignment="1">
      <alignment horizontal="left"/>
    </xf>
    <xf numFmtId="0" fontId="3" fillId="50" borderId="0" xfId="0" applyNumberFormat="1" applyFont="1" applyFill="1" applyAlignment="1">
      <alignment horizontal="center"/>
    </xf>
    <xf numFmtId="0" fontId="7" fillId="50" borderId="0" xfId="0" applyNumberFormat="1" applyFont="1" applyFill="1" applyAlignment="1">
      <alignment horizontal="center" wrapText="1"/>
    </xf>
    <xf numFmtId="49" fontId="7" fillId="50" borderId="0" xfId="0" applyNumberFormat="1" applyFont="1" applyFill="1" applyAlignment="1">
      <alignment horizontal="center" wrapText="1"/>
    </xf>
    <xf numFmtId="49" fontId="3" fillId="50" borderId="0" xfId="0" applyNumberFormat="1" applyFont="1" applyFill="1" applyAlignment="1">
      <alignment horizontal="center"/>
    </xf>
    <xf numFmtId="49" fontId="163" fillId="50" borderId="0" xfId="0" applyNumberFormat="1" applyFont="1" applyFill="1" applyBorder="1" applyAlignment="1" applyProtection="1">
      <alignment horizontal="center" vertical="center" wrapText="1"/>
      <protection/>
    </xf>
    <xf numFmtId="49" fontId="163" fillId="50" borderId="0" xfId="0" applyNumberFormat="1" applyFont="1" applyFill="1" applyBorder="1" applyAlignment="1">
      <alignment horizontal="center" vertical="center" wrapText="1"/>
    </xf>
    <xf numFmtId="49" fontId="14" fillId="50" borderId="0" xfId="0" applyNumberFormat="1" applyFont="1" applyFill="1" applyBorder="1" applyAlignment="1">
      <alignment horizontal="center" wrapText="1"/>
    </xf>
    <xf numFmtId="0" fontId="14" fillId="50" borderId="0" xfId="0" applyNumberFormat="1" applyFont="1" applyFill="1" applyBorder="1" applyAlignment="1">
      <alignment horizontal="center" vertical="center"/>
    </xf>
    <xf numFmtId="49" fontId="18" fillId="50" borderId="22" xfId="0" applyNumberFormat="1" applyFont="1" applyFill="1" applyBorder="1" applyAlignment="1">
      <alignment/>
    </xf>
    <xf numFmtId="49" fontId="105" fillId="50" borderId="21" xfId="0" applyNumberFormat="1" applyFont="1" applyFill="1" applyBorder="1" applyAlignment="1">
      <alignment horizontal="center" vertical="center" wrapText="1"/>
    </xf>
    <xf numFmtId="49" fontId="105" fillId="50" borderId="23" xfId="0" applyNumberFormat="1" applyFont="1" applyFill="1" applyBorder="1" applyAlignment="1">
      <alignment horizontal="center" vertical="center" wrapText="1"/>
    </xf>
    <xf numFmtId="49" fontId="105" fillId="50" borderId="38" xfId="0" applyNumberFormat="1" applyFont="1" applyFill="1" applyBorder="1" applyAlignment="1">
      <alignment horizontal="center" vertical="center" wrapText="1"/>
    </xf>
    <xf numFmtId="49" fontId="0" fillId="50" borderId="0" xfId="0" applyNumberFormat="1" applyFont="1" applyFill="1" applyBorder="1" applyAlignment="1">
      <alignment/>
    </xf>
    <xf numFmtId="49" fontId="105" fillId="50" borderId="20" xfId="0" applyNumberFormat="1" applyFont="1" applyFill="1" applyBorder="1" applyAlignment="1">
      <alignment horizontal="center" vertical="center" wrapText="1"/>
    </xf>
    <xf numFmtId="49" fontId="105" fillId="50" borderId="21" xfId="0" applyNumberFormat="1" applyFont="1" applyFill="1" applyBorder="1" applyAlignment="1" applyProtection="1">
      <alignment horizontal="center" vertical="center" wrapText="1"/>
      <protection/>
    </xf>
    <xf numFmtId="49" fontId="105" fillId="50" borderId="26" xfId="0" applyNumberFormat="1" applyFont="1" applyFill="1" applyBorder="1" applyAlignment="1" applyProtection="1">
      <alignment horizontal="center" vertical="center" wrapText="1"/>
      <protection/>
    </xf>
    <xf numFmtId="49" fontId="105" fillId="50" borderId="40" xfId="0" applyNumberFormat="1" applyFont="1" applyFill="1" applyBorder="1" applyAlignment="1" applyProtection="1">
      <alignment horizontal="center" vertical="center" wrapText="1"/>
      <protection/>
    </xf>
    <xf numFmtId="49" fontId="105" fillId="50" borderId="25"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wrapText="1"/>
    </xf>
    <xf numFmtId="49" fontId="105" fillId="50" borderId="35" xfId="0" applyNumberFormat="1" applyFont="1" applyFill="1" applyBorder="1" applyAlignment="1" applyProtection="1">
      <alignment horizontal="center" vertical="center" wrapText="1"/>
      <protection/>
    </xf>
    <xf numFmtId="49" fontId="105" fillId="50" borderId="19" xfId="0" applyNumberFormat="1" applyFont="1" applyFill="1" applyBorder="1" applyAlignment="1" applyProtection="1">
      <alignment horizontal="center" vertical="center" wrapText="1"/>
      <protection/>
    </xf>
    <xf numFmtId="49" fontId="105" fillId="50" borderId="36" xfId="0" applyNumberFormat="1" applyFont="1" applyFill="1" applyBorder="1" applyAlignment="1" applyProtection="1">
      <alignment horizontal="center" vertical="center" wrapText="1"/>
      <protection/>
    </xf>
    <xf numFmtId="49" fontId="105" fillId="50" borderId="20" xfId="0" applyNumberFormat="1" applyFont="1" applyFill="1" applyBorder="1" applyAlignment="1" applyProtection="1">
      <alignment horizontal="center" vertical="center" wrapText="1"/>
      <protection/>
    </xf>
    <xf numFmtId="1" fontId="110" fillId="50" borderId="26" xfId="0" applyNumberFormat="1" applyFont="1" applyFill="1" applyBorder="1" applyAlignment="1">
      <alignment horizontal="center" vertical="center"/>
    </xf>
    <xf numFmtId="1" fontId="110" fillId="50" borderId="40" xfId="0" applyNumberFormat="1" applyFont="1" applyFill="1" applyBorder="1" applyAlignment="1">
      <alignment horizontal="center" vertical="center"/>
    </xf>
    <xf numFmtId="1" fontId="110" fillId="50" borderId="25" xfId="0" applyNumberFormat="1" applyFont="1" applyFill="1" applyBorder="1" applyAlignment="1">
      <alignment horizontal="center" vertical="center"/>
    </xf>
    <xf numFmtId="49" fontId="177" fillId="50" borderId="20" xfId="0" applyNumberFormat="1" applyFont="1" applyFill="1" applyBorder="1" applyAlignment="1" applyProtection="1">
      <alignment horizontal="center" vertical="center" wrapText="1"/>
      <protection/>
    </xf>
    <xf numFmtId="49" fontId="110" fillId="50" borderId="26" xfId="0" applyNumberFormat="1" applyFont="1" applyFill="1" applyBorder="1" applyAlignment="1" applyProtection="1">
      <alignment horizontal="center" vertical="center" wrapText="1"/>
      <protection/>
    </xf>
    <xf numFmtId="49" fontId="110" fillId="50" borderId="40" xfId="0" applyNumberFormat="1" applyFont="1" applyFill="1" applyBorder="1" applyAlignment="1">
      <alignment horizontal="center" vertical="center" wrapText="1"/>
    </xf>
    <xf numFmtId="49" fontId="110" fillId="50" borderId="25" xfId="0" applyNumberFormat="1" applyFont="1" applyFill="1" applyBorder="1" applyAlignment="1">
      <alignment horizontal="center" vertical="center" wrapText="1"/>
    </xf>
    <xf numFmtId="49" fontId="105" fillId="50" borderId="36" xfId="0" applyNumberFormat="1" applyFont="1" applyFill="1" applyBorder="1" applyAlignment="1">
      <alignment horizontal="center" vertical="center" wrapText="1"/>
    </xf>
    <xf numFmtId="49" fontId="105" fillId="50" borderId="39" xfId="0" applyNumberFormat="1" applyFont="1" applyFill="1" applyBorder="1" applyAlignment="1">
      <alignment horizontal="center" vertical="center" wrapText="1"/>
    </xf>
    <xf numFmtId="49" fontId="105" fillId="50" borderId="37" xfId="0" applyNumberFormat="1" applyFont="1" applyFill="1" applyBorder="1" applyAlignment="1">
      <alignment horizontal="center" vertical="center" wrapText="1"/>
    </xf>
    <xf numFmtId="49" fontId="105" fillId="50" borderId="27" xfId="0" applyNumberFormat="1" applyFont="1" applyFill="1" applyBorder="1" applyAlignment="1">
      <alignment horizontal="center" vertical="center" wrapText="1"/>
    </xf>
    <xf numFmtId="0" fontId="14" fillId="50" borderId="0" xfId="0" applyNumberFormat="1" applyFont="1" applyFill="1" applyBorder="1" applyAlignment="1">
      <alignment horizontal="center" wrapText="1"/>
    </xf>
    <xf numFmtId="0" fontId="110" fillId="50" borderId="20" xfId="0" applyNumberFormat="1" applyFont="1" applyFill="1" applyBorder="1" applyAlignment="1">
      <alignment horizontal="center" vertical="center" wrapText="1"/>
    </xf>
    <xf numFmtId="3" fontId="18" fillId="50" borderId="19" xfId="0" applyNumberFormat="1" applyFont="1" applyFill="1" applyBorder="1" applyAlignment="1">
      <alignment horizontal="center" vertical="center"/>
    </xf>
    <xf numFmtId="49" fontId="110" fillId="50" borderId="20" xfId="0" applyNumberFormat="1" applyFont="1" applyFill="1" applyBorder="1" applyAlignment="1" applyProtection="1">
      <alignment horizontal="center" vertical="center" wrapText="1"/>
      <protection/>
    </xf>
    <xf numFmtId="49" fontId="105" fillId="50" borderId="35" xfId="0" applyNumberFormat="1" applyFont="1" applyFill="1" applyBorder="1" applyAlignment="1">
      <alignment horizontal="center" vertical="center" wrapText="1"/>
    </xf>
    <xf numFmtId="49" fontId="105" fillId="50" borderId="24" xfId="0" applyNumberFormat="1" applyFont="1" applyFill="1" applyBorder="1" applyAlignment="1">
      <alignment horizontal="center" vertical="center" wrapText="1"/>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49" fontId="100" fillId="0" borderId="20" xfId="0" applyNumberFormat="1" applyFont="1" applyFill="1" applyBorder="1" applyAlignment="1" applyProtection="1">
      <alignment horizontal="center" vertical="center" wrapText="1"/>
      <protection/>
    </xf>
    <xf numFmtId="0" fontId="100" fillId="0" borderId="20" xfId="0" applyNumberFormat="1" applyFont="1" applyFill="1" applyBorder="1" applyAlignment="1">
      <alignment horizontal="center" vertical="center" wrapText="1"/>
    </xf>
    <xf numFmtId="49" fontId="108" fillId="0" borderId="20" xfId="0" applyNumberFormat="1" applyFont="1" applyFill="1" applyBorder="1" applyAlignment="1" applyProtection="1">
      <alignment horizontal="center" vertical="center" wrapText="1"/>
      <protection/>
    </xf>
    <xf numFmtId="0" fontId="100" fillId="0" borderId="20" xfId="135" applyFont="1" applyFill="1" applyBorder="1" applyAlignment="1">
      <alignment horizontal="center" vertical="center" wrapText="1"/>
      <protection/>
    </xf>
    <xf numFmtId="0" fontId="30"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wrapText="1"/>
    </xf>
    <xf numFmtId="0" fontId="30" fillId="0" borderId="0" xfId="0" applyNumberFormat="1" applyFont="1" applyFill="1" applyBorder="1" applyAlignment="1">
      <alignment horizontal="center" wrapText="1"/>
    </xf>
    <xf numFmtId="49" fontId="100" fillId="0" borderId="20" xfId="0" applyNumberFormat="1" applyFont="1" applyFill="1" applyBorder="1" applyAlignment="1">
      <alignment horizontal="center" vertical="center" wrapText="1"/>
    </xf>
    <xf numFmtId="1" fontId="100" fillId="0" borderId="20" xfId="0" applyNumberFormat="1" applyFont="1" applyFill="1" applyBorder="1" applyAlignment="1">
      <alignment horizontal="center" vertical="center"/>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4" fillId="0" borderId="0" xfId="0" applyNumberFormat="1" applyFont="1" applyFill="1" applyAlignment="1">
      <alignment horizontal="left"/>
    </xf>
    <xf numFmtId="0" fontId="105" fillId="0" borderId="20" xfId="0" applyNumberFormat="1" applyFont="1" applyFill="1" applyBorder="1" applyAlignment="1">
      <alignment horizontal="center" vertical="center" wrapText="1"/>
    </xf>
    <xf numFmtId="49" fontId="106" fillId="0" borderId="43" xfId="0" applyNumberFormat="1" applyFont="1" applyFill="1" applyBorder="1" applyAlignment="1" applyProtection="1">
      <alignment horizontal="center" vertical="center" wrapText="1"/>
      <protection/>
    </xf>
    <xf numFmtId="49" fontId="106" fillId="0" borderId="20" xfId="0" applyNumberFormat="1" applyFont="1" applyFill="1" applyBorder="1" applyAlignment="1" applyProtection="1">
      <alignment horizontal="center" vertical="center" wrapText="1"/>
      <protection/>
    </xf>
    <xf numFmtId="49" fontId="18" fillId="0" borderId="0" xfId="0" applyNumberFormat="1" applyFont="1" applyFill="1" applyBorder="1" applyAlignment="1">
      <alignment horizontal="center"/>
    </xf>
    <xf numFmtId="49" fontId="105" fillId="0" borderId="20" xfId="0" applyNumberFormat="1" applyFont="1" applyFill="1" applyBorder="1" applyAlignment="1" applyProtection="1">
      <alignment horizontal="center" vertical="center" wrapText="1"/>
      <protection/>
    </xf>
    <xf numFmtId="1" fontId="105" fillId="0" borderId="20" xfId="0" applyNumberFormat="1" applyFont="1" applyFill="1" applyBorder="1" applyAlignment="1">
      <alignment horizontal="center" vertical="center"/>
    </xf>
    <xf numFmtId="49" fontId="105"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49" fontId="161" fillId="50" borderId="20"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3" fontId="175" fillId="0" borderId="20" xfId="144" applyNumberFormat="1" applyFont="1" applyFill="1" applyBorder="1" applyAlignment="1" applyProtection="1">
      <alignment horizontal="center" vertical="center"/>
      <protection locked="0"/>
    </xf>
    <xf numFmtId="0" fontId="172" fillId="51" borderId="20" xfId="142" applyFont="1" applyFill="1" applyBorder="1" applyAlignment="1">
      <alignment vertical="center" wrapText="1"/>
      <protection/>
    </xf>
    <xf numFmtId="3" fontId="172" fillId="51" borderId="20" xfId="142" applyNumberFormat="1" applyFont="1" applyFill="1" applyBorder="1" applyAlignment="1">
      <alignment vertical="center" wrapText="1"/>
      <protection/>
    </xf>
    <xf numFmtId="194" fontId="8" fillId="47" borderId="20" xfId="0" applyNumberFormat="1" applyFont="1" applyFill="1" applyBorder="1" applyAlignment="1" applyProtection="1">
      <alignment horizontal="center" vertical="center"/>
      <protection/>
    </xf>
    <xf numFmtId="41" fontId="8" fillId="47" borderId="20" xfId="0" applyNumberFormat="1" applyFont="1" applyFill="1" applyBorder="1" applyAlignment="1" applyProtection="1">
      <alignment horizontal="center" vertical="center"/>
      <protection locked="0"/>
    </xf>
    <xf numFmtId="41" fontId="8" fillId="50" borderId="20" xfId="0" applyNumberFormat="1" applyFont="1" applyFill="1" applyBorder="1" applyAlignment="1" applyProtection="1">
      <alignment horizontal="center" vertical="center"/>
      <protection locked="0"/>
    </xf>
    <xf numFmtId="41" fontId="8" fillId="47" borderId="21" xfId="0" applyNumberFormat="1" applyFont="1" applyFill="1" applyBorder="1" applyAlignment="1" applyProtection="1">
      <alignment horizontal="center" vertical="center"/>
      <protection locked="0"/>
    </xf>
    <xf numFmtId="49" fontId="169" fillId="50" borderId="26" xfId="0" applyNumberFormat="1" applyFont="1" applyFill="1" applyBorder="1" applyAlignment="1" applyProtection="1">
      <alignment horizontal="center" vertical="center" wrapText="1"/>
      <protection/>
    </xf>
    <xf numFmtId="49" fontId="169" fillId="50" borderId="40" xfId="0" applyNumberFormat="1" applyFont="1" applyFill="1" applyBorder="1" applyAlignment="1" applyProtection="1">
      <alignment horizontal="center" vertical="center" wrapText="1"/>
      <protection/>
    </xf>
    <xf numFmtId="194" fontId="169" fillId="50" borderId="20" xfId="0" applyNumberFormat="1" applyFont="1" applyFill="1" applyBorder="1" applyAlignment="1" applyProtection="1">
      <alignment horizontal="right" vertical="center"/>
      <protection/>
    </xf>
    <xf numFmtId="210" fontId="169" fillId="50" borderId="20" xfId="0" applyNumberFormat="1" applyFont="1" applyFill="1" applyBorder="1" applyAlignment="1">
      <alignment horizontal="right" vertical="center"/>
    </xf>
    <xf numFmtId="10" fontId="6" fillId="0" borderId="20" xfId="157" applyNumberFormat="1" applyFont="1" applyFill="1" applyBorder="1" applyAlignment="1">
      <alignment/>
    </xf>
    <xf numFmtId="3" fontId="6" fillId="0" borderId="20" xfId="135" applyNumberFormat="1" applyFont="1" applyFill="1" applyBorder="1">
      <alignment/>
      <protection/>
    </xf>
    <xf numFmtId="49" fontId="169" fillId="50" borderId="20" xfId="0" applyNumberFormat="1" applyFont="1" applyFill="1" applyBorder="1" applyAlignment="1" applyProtection="1">
      <alignment horizontal="center" vertical="center"/>
      <protection/>
    </xf>
    <xf numFmtId="49" fontId="5" fillId="50" borderId="20" xfId="0" applyNumberFormat="1" applyFont="1" applyFill="1" applyBorder="1" applyAlignment="1" applyProtection="1">
      <alignment horizontal="center" vertical="center"/>
      <protection/>
    </xf>
    <xf numFmtId="49" fontId="5" fillId="50" borderId="26" xfId="0" applyNumberFormat="1" applyFont="1" applyFill="1" applyBorder="1" applyAlignment="1" applyProtection="1">
      <alignment vertical="center"/>
      <protection/>
    </xf>
    <xf numFmtId="210" fontId="6" fillId="50" borderId="20" xfId="0" applyNumberFormat="1" applyFont="1" applyFill="1" applyBorder="1" applyAlignment="1">
      <alignment horizontal="right" vertical="center"/>
    </xf>
    <xf numFmtId="49" fontId="5" fillId="50" borderId="26" xfId="0" applyNumberFormat="1" applyFont="1" applyFill="1" applyBorder="1" applyAlignment="1">
      <alignment/>
    </xf>
    <xf numFmtId="0" fontId="173" fillId="51" borderId="20" xfId="0" applyFont="1" applyFill="1" applyBorder="1" applyAlignment="1">
      <alignment vertical="center" wrapText="1"/>
    </xf>
    <xf numFmtId="1" fontId="173" fillId="51" borderId="20" xfId="0" applyNumberFormat="1" applyFont="1" applyFill="1" applyBorder="1" applyAlignment="1">
      <alignment vertical="center" wrapText="1"/>
    </xf>
    <xf numFmtId="49" fontId="5" fillId="50" borderId="26" xfId="136" applyNumberFormat="1" applyFont="1" applyFill="1" applyBorder="1" applyAlignment="1" applyProtection="1">
      <alignment vertical="center"/>
      <protection/>
    </xf>
    <xf numFmtId="194" fontId="5" fillId="50" borderId="20" xfId="0" applyNumberFormat="1" applyFont="1" applyFill="1" applyBorder="1" applyAlignment="1">
      <alignment horizontal="right" vertical="center"/>
    </xf>
    <xf numFmtId="0" fontId="5" fillId="50" borderId="26" xfId="136" applyFont="1" applyFill="1" applyBorder="1" applyAlignment="1">
      <alignment vertical="center"/>
      <protection/>
    </xf>
    <xf numFmtId="194" fontId="174" fillId="0" borderId="20" xfId="99" applyNumberFormat="1" applyFont="1" applyBorder="1" applyAlignment="1" applyProtection="1">
      <alignment/>
      <protection locked="0"/>
    </xf>
    <xf numFmtId="49" fontId="5" fillId="47" borderId="20" xfId="0" applyNumberFormat="1" applyFont="1" applyFill="1" applyBorder="1" applyAlignment="1" applyProtection="1">
      <alignment vertical="center"/>
      <protection/>
    </xf>
    <xf numFmtId="49" fontId="112" fillId="47" borderId="26" xfId="0" applyNumberFormat="1" applyFont="1" applyFill="1" applyBorder="1" applyAlignment="1" applyProtection="1">
      <alignment vertical="center"/>
      <protection/>
    </xf>
    <xf numFmtId="49" fontId="5" fillId="47" borderId="26" xfId="0" applyNumberFormat="1" applyFont="1" applyFill="1" applyBorder="1" applyAlignment="1" applyProtection="1">
      <alignment vertical="center"/>
      <protection/>
    </xf>
    <xf numFmtId="194" fontId="5" fillId="47" borderId="20" xfId="0" applyNumberFormat="1" applyFont="1" applyFill="1" applyBorder="1" applyAlignment="1" applyProtection="1">
      <alignment horizontal="right" vertical="center"/>
      <protection/>
    </xf>
    <xf numFmtId="49" fontId="5" fillId="0" borderId="20" xfId="144" applyNumberFormat="1" applyFont="1" applyFill="1" applyBorder="1" applyAlignment="1" applyProtection="1">
      <alignment vertical="center"/>
      <protection locked="0"/>
    </xf>
    <xf numFmtId="49" fontId="5" fillId="0" borderId="20" xfId="144" applyNumberFormat="1" applyFont="1" applyFill="1" applyBorder="1" applyAlignment="1" applyProtection="1">
      <alignment vertical="center" wrapText="1"/>
      <protection locked="0"/>
    </xf>
    <xf numFmtId="49" fontId="5" fillId="0" borderId="20" xfId="0" applyNumberFormat="1" applyFont="1" applyFill="1" applyBorder="1" applyAlignment="1" applyProtection="1">
      <alignment/>
      <protection locked="0"/>
    </xf>
    <xf numFmtId="49" fontId="169" fillId="50" borderId="25" xfId="0" applyNumberFormat="1" applyFont="1" applyFill="1" applyBorder="1" applyAlignment="1" applyProtection="1">
      <alignment horizontal="center" vertical="center" wrapText="1"/>
      <protection/>
    </xf>
    <xf numFmtId="194" fontId="5" fillId="50" borderId="20" xfId="0" applyNumberFormat="1" applyFont="1" applyFill="1" applyBorder="1" applyAlignment="1" applyProtection="1">
      <alignment horizontal="center" vertical="center"/>
      <protection/>
    </xf>
    <xf numFmtId="210" fontId="5" fillId="50" borderId="20" xfId="0" applyNumberFormat="1" applyFont="1" applyFill="1" applyBorder="1" applyAlignment="1">
      <alignment horizontal="center" vertical="center"/>
    </xf>
    <xf numFmtId="49" fontId="178" fillId="50" borderId="20" xfId="0" applyNumberFormat="1" applyFont="1" applyFill="1" applyBorder="1" applyAlignment="1" applyProtection="1">
      <alignment horizontal="center" vertical="center"/>
      <protection/>
    </xf>
    <xf numFmtId="49" fontId="178" fillId="47" borderId="20" xfId="0" applyNumberFormat="1" applyFont="1" applyFill="1" applyBorder="1" applyAlignment="1" applyProtection="1">
      <alignment horizontal="center" vertical="center"/>
      <protection/>
    </xf>
    <xf numFmtId="49" fontId="178" fillId="50" borderId="20" xfId="0" applyNumberFormat="1" applyFont="1" applyFill="1" applyBorder="1" applyAlignment="1" applyProtection="1">
      <alignment vertical="center"/>
      <protection/>
    </xf>
    <xf numFmtId="49" fontId="8" fillId="47" borderId="0" xfId="0" applyNumberFormat="1" applyFont="1" applyFill="1" applyAlignment="1">
      <alignment/>
    </xf>
  </cellXfs>
  <cellStyles count="15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yperlink" xfId="124"/>
    <cellStyle name="Input" xfId="125"/>
    <cellStyle name="Input 2" xfId="126"/>
    <cellStyle name="Input 3" xfId="127"/>
    <cellStyle name="Linked Cell" xfId="128"/>
    <cellStyle name="Linked Cell 2" xfId="129"/>
    <cellStyle name="Linked Cell 3" xfId="130"/>
    <cellStyle name="Neutral" xfId="131"/>
    <cellStyle name="Neutral 2" xfId="132"/>
    <cellStyle name="Neutral 3" xfId="133"/>
    <cellStyle name="Normal 2" xfId="134"/>
    <cellStyle name="Normal 2 2" xfId="135"/>
    <cellStyle name="Normal 2 3" xfId="136"/>
    <cellStyle name="Normal 3" xfId="137"/>
    <cellStyle name="Normal 3 2" xfId="138"/>
    <cellStyle name="Normal 4" xfId="139"/>
    <cellStyle name="Normal 4 2" xfId="140"/>
    <cellStyle name="Normal 5" xfId="141"/>
    <cellStyle name="Normal 6" xfId="142"/>
    <cellStyle name="Normal_1. (Goc) THONG KE TT01 Toàn tỉnh Hoa Binh 6 tháng 2013" xfId="143"/>
    <cellStyle name="Normal_1. (Goc) THONG KE TT01 Toàn tỉnh Hoa Binh 6 tháng 2013 2" xfId="144"/>
    <cellStyle name="Normal_19 bieu m nhapcong thuc da sao 11 don vi " xfId="145"/>
    <cellStyle name="Normal_Bieu 8 - Bieu 19 toan tinh" xfId="146"/>
    <cellStyle name="Normal_Bieu mau TK tu 11 den 19 (ban phat hanh)"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2 3" xfId="157"/>
    <cellStyle name="Percent 3" xfId="158"/>
    <cellStyle name="Percent 4" xfId="159"/>
    <cellStyle name="Percent 5" xfId="160"/>
    <cellStyle name="Title" xfId="161"/>
    <cellStyle name="Title 2" xfId="162"/>
    <cellStyle name="Title 3" xfId="163"/>
    <cellStyle name="Total" xfId="164"/>
    <cellStyle name="Total 2" xfId="165"/>
    <cellStyle name="Total 3" xfId="166"/>
    <cellStyle name="Warning Text" xfId="167"/>
    <cellStyle name="Warning Text 2" xfId="168"/>
    <cellStyle name="Warning Text 3"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23825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23825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94297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94297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04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04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81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81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09" t="s">
        <v>26</v>
      </c>
      <c r="B1" s="609"/>
      <c r="C1" s="608" t="s">
        <v>74</v>
      </c>
      <c r="D1" s="608"/>
      <c r="E1" s="608"/>
      <c r="F1" s="610" t="s">
        <v>70</v>
      </c>
      <c r="G1" s="610"/>
      <c r="H1" s="610"/>
    </row>
    <row r="2" spans="1:8" ht="33.75" customHeight="1">
      <c r="A2" s="611" t="s">
        <v>77</v>
      </c>
      <c r="B2" s="611"/>
      <c r="C2" s="608"/>
      <c r="D2" s="608"/>
      <c r="E2" s="608"/>
      <c r="F2" s="607" t="s">
        <v>71</v>
      </c>
      <c r="G2" s="607"/>
      <c r="H2" s="607"/>
    </row>
    <row r="3" spans="1:8" ht="19.5" customHeight="1">
      <c r="A3" s="6" t="s">
        <v>65</v>
      </c>
      <c r="B3" s="6"/>
      <c r="C3" s="24"/>
      <c r="D3" s="24"/>
      <c r="E3" s="24"/>
      <c r="F3" s="607" t="s">
        <v>72</v>
      </c>
      <c r="G3" s="607"/>
      <c r="H3" s="607"/>
    </row>
    <row r="4" spans="1:8" s="7" customFormat="1" ht="19.5" customHeight="1">
      <c r="A4" s="6"/>
      <c r="B4" s="6"/>
      <c r="D4" s="8"/>
      <c r="F4" s="9" t="s">
        <v>73</v>
      </c>
      <c r="G4" s="9"/>
      <c r="H4" s="9"/>
    </row>
    <row r="5" spans="1:8" s="23" customFormat="1" ht="36" customHeight="1">
      <c r="A5" s="589" t="s">
        <v>57</v>
      </c>
      <c r="B5" s="590"/>
      <c r="C5" s="593" t="s">
        <v>68</v>
      </c>
      <c r="D5" s="594"/>
      <c r="E5" s="595" t="s">
        <v>67</v>
      </c>
      <c r="F5" s="595"/>
      <c r="G5" s="595"/>
      <c r="H5" s="596"/>
    </row>
    <row r="6" spans="1:8" s="23" customFormat="1" ht="20.25" customHeight="1">
      <c r="A6" s="591"/>
      <c r="B6" s="592"/>
      <c r="C6" s="597" t="s">
        <v>3</v>
      </c>
      <c r="D6" s="597" t="s">
        <v>75</v>
      </c>
      <c r="E6" s="599" t="s">
        <v>69</v>
      </c>
      <c r="F6" s="596"/>
      <c r="G6" s="599" t="s">
        <v>76</v>
      </c>
      <c r="H6" s="596"/>
    </row>
    <row r="7" spans="1:8" s="23" customFormat="1" ht="52.5" customHeight="1">
      <c r="A7" s="591"/>
      <c r="B7" s="592"/>
      <c r="C7" s="598"/>
      <c r="D7" s="598"/>
      <c r="E7" s="5" t="s">
        <v>3</v>
      </c>
      <c r="F7" s="5" t="s">
        <v>9</v>
      </c>
      <c r="G7" s="5" t="s">
        <v>3</v>
      </c>
      <c r="H7" s="5" t="s">
        <v>9</v>
      </c>
    </row>
    <row r="8" spans="1:8" ht="15" customHeight="1">
      <c r="A8" s="601" t="s">
        <v>6</v>
      </c>
      <c r="B8" s="602"/>
      <c r="C8" s="10">
        <v>1</v>
      </c>
      <c r="D8" s="10" t="s">
        <v>44</v>
      </c>
      <c r="E8" s="10" t="s">
        <v>49</v>
      </c>
      <c r="F8" s="10" t="s">
        <v>58</v>
      </c>
      <c r="G8" s="10" t="s">
        <v>59</v>
      </c>
      <c r="H8" s="10" t="s">
        <v>60</v>
      </c>
    </row>
    <row r="9" spans="1:8" ht="26.25" customHeight="1">
      <c r="A9" s="603" t="s">
        <v>33</v>
      </c>
      <c r="B9" s="604"/>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05" t="s">
        <v>56</v>
      </c>
      <c r="C16" s="605"/>
      <c r="D16" s="26"/>
      <c r="E16" s="586" t="s">
        <v>19</v>
      </c>
      <c r="F16" s="586"/>
      <c r="G16" s="586"/>
      <c r="H16" s="586"/>
    </row>
    <row r="17" spans="2:8" ht="15.75" customHeight="1">
      <c r="B17" s="605"/>
      <c r="C17" s="605"/>
      <c r="D17" s="26"/>
      <c r="E17" s="587" t="s">
        <v>38</v>
      </c>
      <c r="F17" s="587"/>
      <c r="G17" s="587"/>
      <c r="H17" s="587"/>
    </row>
    <row r="18" spans="2:8" s="27" customFormat="1" ht="15.75" customHeight="1">
      <c r="B18" s="605"/>
      <c r="C18" s="605"/>
      <c r="D18" s="28"/>
      <c r="E18" s="588" t="s">
        <v>55</v>
      </c>
      <c r="F18" s="588"/>
      <c r="G18" s="588"/>
      <c r="H18" s="588"/>
    </row>
    <row r="20" ht="15.75">
      <c r="B20" s="19"/>
    </row>
    <row r="22" ht="15.75" hidden="1">
      <c r="A22" s="20" t="s">
        <v>41</v>
      </c>
    </row>
    <row r="23" spans="1:3" ht="15.75" hidden="1">
      <c r="A23" s="21"/>
      <c r="B23" s="606" t="s">
        <v>50</v>
      </c>
      <c r="C23" s="606"/>
    </row>
    <row r="24" spans="1:8" ht="15.75" customHeight="1" hidden="1">
      <c r="A24" s="22" t="s">
        <v>25</v>
      </c>
      <c r="B24" s="600" t="s">
        <v>53</v>
      </c>
      <c r="C24" s="600"/>
      <c r="D24" s="22"/>
      <c r="E24" s="22"/>
      <c r="F24" s="22"/>
      <c r="G24" s="22"/>
      <c r="H24" s="22"/>
    </row>
    <row r="25" spans="1:8" ht="15" customHeight="1" hidden="1">
      <c r="A25" s="22"/>
      <c r="B25" s="600" t="s">
        <v>54</v>
      </c>
      <c r="C25" s="600"/>
      <c r="D25" s="600"/>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81" t="s">
        <v>232</v>
      </c>
      <c r="B1" s="781"/>
      <c r="C1" s="781"/>
      <c r="D1" s="784" t="s">
        <v>344</v>
      </c>
      <c r="E1" s="784"/>
      <c r="F1" s="784"/>
      <c r="G1" s="784"/>
      <c r="H1" s="784"/>
      <c r="I1" s="784"/>
      <c r="J1" s="191" t="s">
        <v>345</v>
      </c>
      <c r="K1" s="322"/>
      <c r="L1" s="322"/>
    </row>
    <row r="2" spans="1:12" ht="18.75" customHeight="1">
      <c r="A2" s="782" t="s">
        <v>303</v>
      </c>
      <c r="B2" s="782"/>
      <c r="C2" s="782"/>
      <c r="D2" s="866" t="s">
        <v>233</v>
      </c>
      <c r="E2" s="866"/>
      <c r="F2" s="866"/>
      <c r="G2" s="866"/>
      <c r="H2" s="866"/>
      <c r="I2" s="866"/>
      <c r="J2" s="781" t="s">
        <v>346</v>
      </c>
      <c r="K2" s="781"/>
      <c r="L2" s="781"/>
    </row>
    <row r="3" spans="1:12" ht="17.25">
      <c r="A3" s="782" t="s">
        <v>255</v>
      </c>
      <c r="B3" s="782"/>
      <c r="C3" s="782"/>
      <c r="D3" s="867" t="s">
        <v>347</v>
      </c>
      <c r="E3" s="868"/>
      <c r="F3" s="868"/>
      <c r="G3" s="868"/>
      <c r="H3" s="868"/>
      <c r="I3" s="868"/>
      <c r="J3" s="194" t="s">
        <v>363</v>
      </c>
      <c r="K3" s="194"/>
      <c r="L3" s="194"/>
    </row>
    <row r="4" spans="1:12" ht="15.75">
      <c r="A4" s="870" t="s">
        <v>348</v>
      </c>
      <c r="B4" s="870"/>
      <c r="C4" s="870"/>
      <c r="D4" s="871"/>
      <c r="E4" s="871"/>
      <c r="F4" s="871"/>
      <c r="G4" s="871"/>
      <c r="H4" s="871"/>
      <c r="I4" s="871"/>
      <c r="J4" s="768" t="s">
        <v>305</v>
      </c>
      <c r="K4" s="768"/>
      <c r="L4" s="768"/>
    </row>
    <row r="5" spans="1:13" ht="15.75">
      <c r="A5" s="324"/>
      <c r="B5" s="324"/>
      <c r="C5" s="325"/>
      <c r="D5" s="325"/>
      <c r="E5" s="193"/>
      <c r="J5" s="326" t="s">
        <v>349</v>
      </c>
      <c r="K5" s="241"/>
      <c r="L5" s="241"/>
      <c r="M5" s="241"/>
    </row>
    <row r="6" spans="1:13" s="329" customFormat="1" ht="24.75" customHeight="1">
      <c r="A6" s="874" t="s">
        <v>57</v>
      </c>
      <c r="B6" s="875"/>
      <c r="C6" s="869" t="s">
        <v>350</v>
      </c>
      <c r="D6" s="869"/>
      <c r="E6" s="869"/>
      <c r="F6" s="869"/>
      <c r="G6" s="869"/>
      <c r="H6" s="869"/>
      <c r="I6" s="869" t="s">
        <v>234</v>
      </c>
      <c r="J6" s="869"/>
      <c r="K6" s="869"/>
      <c r="L6" s="869"/>
      <c r="M6" s="328"/>
    </row>
    <row r="7" spans="1:13" s="329" customFormat="1" ht="17.25" customHeight="1">
      <c r="A7" s="876"/>
      <c r="B7" s="877"/>
      <c r="C7" s="869" t="s">
        <v>31</v>
      </c>
      <c r="D7" s="869"/>
      <c r="E7" s="869" t="s">
        <v>7</v>
      </c>
      <c r="F7" s="869"/>
      <c r="G7" s="869"/>
      <c r="H7" s="869"/>
      <c r="I7" s="869" t="s">
        <v>235</v>
      </c>
      <c r="J7" s="869"/>
      <c r="K7" s="869" t="s">
        <v>236</v>
      </c>
      <c r="L7" s="869"/>
      <c r="M7" s="328"/>
    </row>
    <row r="8" spans="1:12" s="329" customFormat="1" ht="27.75" customHeight="1">
      <c r="A8" s="876"/>
      <c r="B8" s="877"/>
      <c r="C8" s="869"/>
      <c r="D8" s="869"/>
      <c r="E8" s="869" t="s">
        <v>237</v>
      </c>
      <c r="F8" s="869"/>
      <c r="G8" s="869" t="s">
        <v>238</v>
      </c>
      <c r="H8" s="869"/>
      <c r="I8" s="869"/>
      <c r="J8" s="869"/>
      <c r="K8" s="869"/>
      <c r="L8" s="869"/>
    </row>
    <row r="9" spans="1:12" s="329" customFormat="1" ht="24.75" customHeight="1">
      <c r="A9" s="878"/>
      <c r="B9" s="879"/>
      <c r="C9" s="327" t="s">
        <v>239</v>
      </c>
      <c r="D9" s="327" t="s">
        <v>9</v>
      </c>
      <c r="E9" s="327" t="s">
        <v>3</v>
      </c>
      <c r="F9" s="327" t="s">
        <v>240</v>
      </c>
      <c r="G9" s="327" t="s">
        <v>3</v>
      </c>
      <c r="H9" s="327" t="s">
        <v>240</v>
      </c>
      <c r="I9" s="327" t="s">
        <v>3</v>
      </c>
      <c r="J9" s="327" t="s">
        <v>240</v>
      </c>
      <c r="K9" s="327" t="s">
        <v>3</v>
      </c>
      <c r="L9" s="327" t="s">
        <v>240</v>
      </c>
    </row>
    <row r="10" spans="1:12" s="331" customFormat="1" ht="15.75">
      <c r="A10" s="802" t="s">
        <v>6</v>
      </c>
      <c r="B10" s="803"/>
      <c r="C10" s="330">
        <v>1</v>
      </c>
      <c r="D10" s="330">
        <v>2</v>
      </c>
      <c r="E10" s="330">
        <v>3</v>
      </c>
      <c r="F10" s="330">
        <v>4</v>
      </c>
      <c r="G10" s="330">
        <v>5</v>
      </c>
      <c r="H10" s="330">
        <v>6</v>
      </c>
      <c r="I10" s="330">
        <v>7</v>
      </c>
      <c r="J10" s="330">
        <v>8</v>
      </c>
      <c r="K10" s="330">
        <v>9</v>
      </c>
      <c r="L10" s="330">
        <v>10</v>
      </c>
    </row>
    <row r="11" spans="1:12" s="331" customFormat="1" ht="30.75" customHeight="1">
      <c r="A11" s="792" t="s">
        <v>300</v>
      </c>
      <c r="B11" s="793"/>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95" t="s">
        <v>301</v>
      </c>
      <c r="B12" s="796"/>
      <c r="C12" s="249">
        <v>0</v>
      </c>
      <c r="D12" s="249">
        <v>0</v>
      </c>
      <c r="E12" s="249">
        <v>0</v>
      </c>
      <c r="F12" s="249">
        <v>0</v>
      </c>
      <c r="G12" s="249">
        <v>0</v>
      </c>
      <c r="H12" s="249">
        <v>0</v>
      </c>
      <c r="I12" s="249">
        <v>0</v>
      </c>
      <c r="J12" s="249">
        <v>0</v>
      </c>
      <c r="K12" s="249">
        <v>0</v>
      </c>
      <c r="L12" s="249">
        <v>0</v>
      </c>
    </row>
    <row r="13" spans="1:32" s="331" customFormat="1" ht="17.25" customHeight="1">
      <c r="A13" s="798" t="s">
        <v>30</v>
      </c>
      <c r="B13" s="778"/>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270</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302</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273</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274</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275</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276</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281</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283</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284</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285</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287</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90" t="s">
        <v>288</v>
      </c>
      <c r="C28" s="790"/>
      <c r="D28" s="790"/>
      <c r="E28" s="204"/>
      <c r="F28" s="258"/>
      <c r="G28" s="258"/>
      <c r="H28" s="789" t="s">
        <v>288</v>
      </c>
      <c r="I28" s="789"/>
      <c r="J28" s="789"/>
      <c r="K28" s="789"/>
      <c r="L28" s="789"/>
      <c r="AG28" s="192" t="s">
        <v>289</v>
      </c>
      <c r="AI28" s="190">
        <f>82/88</f>
        <v>0.9318181818181818</v>
      </c>
    </row>
    <row r="29" spans="1:12" s="192" customFormat="1" ht="19.5" customHeight="1">
      <c r="A29" s="202"/>
      <c r="B29" s="791" t="s">
        <v>241</v>
      </c>
      <c r="C29" s="791"/>
      <c r="D29" s="791"/>
      <c r="E29" s="204"/>
      <c r="F29" s="205"/>
      <c r="G29" s="205"/>
      <c r="H29" s="794" t="s">
        <v>159</v>
      </c>
      <c r="I29" s="794"/>
      <c r="J29" s="794"/>
      <c r="K29" s="794"/>
      <c r="L29" s="794"/>
    </row>
    <row r="30" spans="1:12" s="196" customFormat="1" ht="15" customHeight="1">
      <c r="A30" s="202"/>
      <c r="B30" s="873"/>
      <c r="C30" s="873"/>
      <c r="D30" s="873"/>
      <c r="E30" s="204"/>
      <c r="F30" s="205"/>
      <c r="G30" s="205"/>
      <c r="H30" s="746"/>
      <c r="I30" s="746"/>
      <c r="J30" s="746"/>
      <c r="K30" s="746"/>
      <c r="L30" s="746"/>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80" t="s">
        <v>292</v>
      </c>
      <c r="C33" s="880"/>
      <c r="D33" s="880"/>
      <c r="E33" s="336"/>
      <c r="F33" s="336"/>
      <c r="G33" s="336"/>
      <c r="H33" s="336"/>
      <c r="I33" s="336"/>
      <c r="J33" s="337" t="s">
        <v>292</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72" t="s">
        <v>242</v>
      </c>
      <c r="C37" s="872"/>
      <c r="D37" s="872"/>
      <c r="E37" s="872"/>
      <c r="F37" s="872"/>
      <c r="G37" s="872"/>
      <c r="H37" s="872"/>
      <c r="I37" s="872"/>
      <c r="J37" s="872"/>
      <c r="K37" s="339"/>
      <c r="L37" s="294"/>
      <c r="M37" s="265"/>
      <c r="N37" s="265"/>
      <c r="O37" s="265"/>
    </row>
    <row r="38" spans="2:12" s="184" customFormat="1" ht="18.75" hidden="1">
      <c r="B38" s="236" t="s">
        <v>243</v>
      </c>
      <c r="C38" s="186"/>
      <c r="D38" s="186"/>
      <c r="E38" s="186"/>
      <c r="F38" s="186"/>
      <c r="G38" s="186"/>
      <c r="H38" s="186"/>
      <c r="I38" s="186"/>
      <c r="J38" s="186"/>
      <c r="K38" s="338"/>
      <c r="L38" s="186"/>
    </row>
    <row r="39" spans="2:12" ht="18.75" hidden="1">
      <c r="B39" s="340" t="s">
        <v>244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43" t="s">
        <v>334</v>
      </c>
      <c r="C41" s="643"/>
      <c r="D41" s="643"/>
      <c r="E41" s="210"/>
      <c r="F41" s="210"/>
      <c r="G41" s="182"/>
      <c r="H41" s="644" t="s">
        <v>249</v>
      </c>
      <c r="I41" s="644"/>
      <c r="J41" s="644"/>
      <c r="K41" s="644"/>
      <c r="L41" s="644"/>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81" t="s">
        <v>376</v>
      </c>
      <c r="M1" s="882"/>
      <c r="N1" s="882"/>
      <c r="O1" s="365"/>
      <c r="P1" s="365"/>
      <c r="Q1" s="365"/>
      <c r="R1" s="365"/>
      <c r="S1" s="365"/>
      <c r="T1" s="365"/>
      <c r="U1" s="365"/>
      <c r="V1" s="365"/>
      <c r="W1" s="365"/>
      <c r="X1" s="365"/>
      <c r="Y1" s="366"/>
    </row>
    <row r="2" spans="11:17" ht="34.5" customHeight="1">
      <c r="K2" s="349"/>
      <c r="L2" s="883" t="s">
        <v>383</v>
      </c>
      <c r="M2" s="884"/>
      <c r="N2" s="885"/>
      <c r="O2" s="29"/>
      <c r="P2" s="351"/>
      <c r="Q2" s="347"/>
    </row>
    <row r="3" spans="11:18" ht="31.5" customHeight="1">
      <c r="K3" s="349"/>
      <c r="L3" s="354" t="s">
        <v>392</v>
      </c>
      <c r="M3" s="355" t="e">
        <f>#REF!</f>
        <v>#REF!</v>
      </c>
      <c r="N3" s="355"/>
      <c r="O3" s="355"/>
      <c r="P3" s="352"/>
      <c r="Q3" s="348"/>
      <c r="R3" s="345"/>
    </row>
    <row r="4" spans="11:18" ht="30" customHeight="1">
      <c r="K4" s="349"/>
      <c r="L4" s="356" t="s">
        <v>377</v>
      </c>
      <c r="M4" s="357" t="e">
        <f>#REF!</f>
        <v>#REF!</v>
      </c>
      <c r="N4" s="355"/>
      <c r="O4" s="355"/>
      <c r="P4" s="352"/>
      <c r="Q4" s="348"/>
      <c r="R4" s="345"/>
    </row>
    <row r="5" spans="11:18" ht="31.5" customHeight="1">
      <c r="K5" s="349"/>
      <c r="L5" s="356" t="s">
        <v>378</v>
      </c>
      <c r="M5" s="357" t="e">
        <f>#REF!</f>
        <v>#REF!</v>
      </c>
      <c r="N5" s="355"/>
      <c r="O5" s="355"/>
      <c r="P5" s="352"/>
      <c r="Q5" s="348"/>
      <c r="R5" s="345"/>
    </row>
    <row r="6" spans="11:18" ht="27" customHeight="1">
      <c r="K6" s="349"/>
      <c r="L6" s="354" t="s">
        <v>379</v>
      </c>
      <c r="M6" s="355" t="e">
        <f>#REF!</f>
        <v>#REF!</v>
      </c>
      <c r="N6" s="355"/>
      <c r="O6" s="355"/>
      <c r="P6" s="352"/>
      <c r="Q6" s="348"/>
      <c r="R6" s="345"/>
    </row>
    <row r="7" spans="11:18" s="342" customFormat="1" ht="30" customHeight="1">
      <c r="K7" s="350"/>
      <c r="L7" s="358" t="s">
        <v>394</v>
      </c>
      <c r="M7" s="355" t="e">
        <f>#REF!</f>
        <v>#REF!</v>
      </c>
      <c r="N7" s="355"/>
      <c r="O7" s="355"/>
      <c r="P7" s="352"/>
      <c r="Q7" s="348"/>
      <c r="R7" s="345"/>
    </row>
    <row r="8" spans="11:18" ht="30.75" customHeight="1">
      <c r="K8" s="349"/>
      <c r="L8" s="359" t="s">
        <v>393</v>
      </c>
      <c r="M8" s="360">
        <f>'[7]M6 Tong hop Viec CHV '!$C$12</f>
        <v>1489</v>
      </c>
      <c r="N8" s="355"/>
      <c r="O8" s="355"/>
      <c r="P8" s="352"/>
      <c r="Q8" s="348"/>
      <c r="R8" s="345"/>
    </row>
    <row r="9" spans="11:18" ht="33" customHeight="1">
      <c r="K9" s="349"/>
      <c r="L9" s="367" t="s">
        <v>396</v>
      </c>
      <c r="M9" s="368" t="e">
        <f>(M7-M8)/M8</f>
        <v>#REF!</v>
      </c>
      <c r="N9" s="355"/>
      <c r="O9" s="355"/>
      <c r="P9" s="352"/>
      <c r="Q9" s="348"/>
      <c r="R9" s="345"/>
    </row>
    <row r="10" spans="11:18" ht="33" customHeight="1">
      <c r="K10" s="349"/>
      <c r="L10" s="354" t="s">
        <v>395</v>
      </c>
      <c r="M10" s="355" t="e">
        <f>#REF!</f>
        <v>#REF!</v>
      </c>
      <c r="N10" s="355" t="s">
        <v>380</v>
      </c>
      <c r="O10" s="361" t="e">
        <f>M10/M7</f>
        <v>#REF!</v>
      </c>
      <c r="P10" s="352"/>
      <c r="Q10" s="348"/>
      <c r="R10" s="345"/>
    </row>
    <row r="11" spans="11:18" ht="22.5" customHeight="1">
      <c r="K11" s="349"/>
      <c r="L11" s="354" t="s">
        <v>397</v>
      </c>
      <c r="M11" s="355" t="e">
        <f>#REF!</f>
        <v>#REF!</v>
      </c>
      <c r="N11" s="355" t="s">
        <v>380</v>
      </c>
      <c r="O11" s="361" t="e">
        <f>M11/M7</f>
        <v>#REF!</v>
      </c>
      <c r="P11" s="352"/>
      <c r="Q11" s="348"/>
      <c r="R11" s="345"/>
    </row>
    <row r="12" spans="11:18" ht="34.5" customHeight="1">
      <c r="K12" s="349"/>
      <c r="L12" s="354" t="s">
        <v>398</v>
      </c>
      <c r="M12" s="355" t="e">
        <f>#REF!+#REF!</f>
        <v>#REF!</v>
      </c>
      <c r="N12" s="354"/>
      <c r="O12" s="354"/>
      <c r="P12" s="346"/>
      <c r="R12" s="346"/>
    </row>
    <row r="13" spans="11:18" ht="33.75" customHeight="1">
      <c r="K13" s="349"/>
      <c r="L13" s="354" t="s">
        <v>399</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400</v>
      </c>
      <c r="M16" s="360">
        <f>'[7]M6 Tong hop Viec CHV '!$H$12+'[7]M6 Tong hop Viec CHV '!$I$12+'[7]M6 Tong hop Viec CHV '!$K$12</f>
        <v>749</v>
      </c>
      <c r="N16" s="355"/>
      <c r="O16" s="355"/>
      <c r="P16" s="352"/>
      <c r="R16" s="346"/>
    </row>
    <row r="17" spans="11:18" ht="24.75" customHeight="1">
      <c r="K17" s="349"/>
      <c r="L17" s="367" t="s">
        <v>401</v>
      </c>
      <c r="M17" s="362">
        <f>M16/M8</f>
        <v>0.5030221625251847</v>
      </c>
      <c r="N17" s="355"/>
      <c r="O17" s="355"/>
      <c r="P17" s="352"/>
      <c r="R17" s="346"/>
    </row>
    <row r="18" spans="11:18" ht="26.25" customHeight="1">
      <c r="K18" s="349"/>
      <c r="L18" s="367" t="s">
        <v>381</v>
      </c>
      <c r="M18" s="368" t="e">
        <f>M13-M17</f>
        <v>#REF!</v>
      </c>
      <c r="N18" s="355"/>
      <c r="O18" s="355"/>
      <c r="P18" s="352"/>
      <c r="R18" s="346"/>
    </row>
    <row r="19" spans="11:18" ht="24.75" customHeight="1">
      <c r="K19" s="349"/>
      <c r="L19" s="354" t="s">
        <v>402</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403</v>
      </c>
      <c r="M26" s="361" t="e">
        <f>M19/#REF!</f>
        <v>#REF!</v>
      </c>
      <c r="N26" s="355"/>
      <c r="O26" s="355"/>
      <c r="P26" s="352"/>
      <c r="R26" s="346"/>
    </row>
    <row r="27" spans="11:18" ht="24.75" customHeight="1">
      <c r="K27" s="349"/>
      <c r="L27" s="359" t="s">
        <v>404</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405</v>
      </c>
      <c r="M30" s="361" t="e">
        <f>M26-M27</f>
        <v>#REF!</v>
      </c>
      <c r="N30" s="355"/>
      <c r="O30" s="355"/>
      <c r="P30" s="352"/>
      <c r="R30" s="346"/>
    </row>
    <row r="31" spans="11:18" ht="24.75" customHeight="1">
      <c r="K31" s="349"/>
      <c r="L31" s="354" t="s">
        <v>406</v>
      </c>
      <c r="M31" s="355" t="e">
        <f>#REF!</f>
        <v>#REF!</v>
      </c>
      <c r="N31" s="355"/>
      <c r="O31" s="355"/>
      <c r="P31" s="352"/>
      <c r="R31" s="346"/>
    </row>
    <row r="32" spans="11:18" ht="24.75" customHeight="1">
      <c r="K32" s="349"/>
      <c r="L32" s="359" t="s">
        <v>407</v>
      </c>
      <c r="M32" s="360">
        <f>'[7]M6 Tong hop Viec CHV '!$R$12</f>
        <v>719</v>
      </c>
      <c r="N32" s="355"/>
      <c r="O32" s="355"/>
      <c r="P32" s="352"/>
      <c r="R32" s="346"/>
    </row>
    <row r="33" spans="11:18" ht="24.75" customHeight="1">
      <c r="K33" s="349"/>
      <c r="L33" s="367" t="s">
        <v>408</v>
      </c>
      <c r="M33" s="369" t="e">
        <f>M31-M32</f>
        <v>#REF!</v>
      </c>
      <c r="N33" s="369" t="s">
        <v>382</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384</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409</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378</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410</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411</v>
      </c>
      <c r="M50" s="355" t="e">
        <f>#REF!</f>
        <v>#REF!</v>
      </c>
      <c r="N50" s="355"/>
      <c r="O50" s="355"/>
      <c r="P50" s="346"/>
      <c r="R50" s="346"/>
    </row>
    <row r="51" spans="11:18" ht="24.75" customHeight="1">
      <c r="K51" s="349"/>
      <c r="L51" s="364" t="s">
        <v>412</v>
      </c>
      <c r="M51" s="360">
        <f>'[7]M7 Thop tien CHV'!$C$12</f>
        <v>54227822.442</v>
      </c>
      <c r="N51" s="355"/>
      <c r="O51" s="355"/>
      <c r="P51" s="346"/>
      <c r="R51" s="346"/>
    </row>
    <row r="52" spans="11:18" ht="24.75" customHeight="1">
      <c r="K52" s="349"/>
      <c r="L52" s="377" t="s">
        <v>385</v>
      </c>
      <c r="M52" s="369" t="e">
        <f>M50-M51</f>
        <v>#REF!</v>
      </c>
      <c r="N52" s="355"/>
      <c r="O52" s="355"/>
      <c r="P52" s="346"/>
      <c r="R52" s="346"/>
    </row>
    <row r="53" spans="11:18" ht="24.75" customHeight="1">
      <c r="K53" s="349"/>
      <c r="L53" s="377" t="s">
        <v>386</v>
      </c>
      <c r="M53" s="368" t="e">
        <f>(M52/M51)</f>
        <v>#REF!</v>
      </c>
      <c r="N53" s="355"/>
      <c r="O53" s="355"/>
      <c r="P53" s="346"/>
      <c r="R53" s="346"/>
    </row>
    <row r="54" spans="11:18" ht="24.75" customHeight="1">
      <c r="K54" s="349"/>
      <c r="L54" s="363" t="s">
        <v>413</v>
      </c>
      <c r="M54" s="355" t="e">
        <f>#REF!</f>
        <v>#REF!</v>
      </c>
      <c r="N54" s="355" t="s">
        <v>387</v>
      </c>
      <c r="O54" s="361" t="e">
        <f>#REF!/#REF!</f>
        <v>#REF!</v>
      </c>
      <c r="P54" s="346"/>
      <c r="R54" s="346"/>
    </row>
    <row r="55" spans="11:18" ht="24.75" customHeight="1">
      <c r="K55" s="349"/>
      <c r="L55" s="363" t="s">
        <v>414</v>
      </c>
      <c r="M55" s="355" t="e">
        <f>#REF!</f>
        <v>#REF!</v>
      </c>
      <c r="N55" s="355" t="s">
        <v>387</v>
      </c>
      <c r="O55" s="361" t="e">
        <f>#REF!/#REF!</f>
        <v>#REF!</v>
      </c>
      <c r="P55" s="346"/>
      <c r="R55" s="346"/>
    </row>
    <row r="56" spans="11:18" ht="24.75" customHeight="1">
      <c r="K56" s="349"/>
      <c r="L56" s="363" t="s">
        <v>415</v>
      </c>
      <c r="M56" s="355" t="e">
        <f>#REF!+#REF!+#REF!</f>
        <v>#REF!</v>
      </c>
      <c r="N56" s="355" t="s">
        <v>387</v>
      </c>
      <c r="O56" s="361" t="e">
        <f>M56/#REF!</f>
        <v>#REF!</v>
      </c>
      <c r="P56" s="346"/>
      <c r="R56" s="346"/>
    </row>
    <row r="57" spans="11:18" ht="24.75" customHeight="1">
      <c r="K57" s="349"/>
      <c r="L57" s="364" t="s">
        <v>416</v>
      </c>
      <c r="M57" s="360">
        <f>'[7]M7 Thop tien CHV'!$H$12+'[7]M7 Thop tien CHV'!$I$12+'[7]M7 Thop tien CHV'!$K$12</f>
        <v>2217726.5</v>
      </c>
      <c r="N57" s="360" t="s">
        <v>387</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417</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418</v>
      </c>
      <c r="M63" s="355" t="e">
        <f>#REF!</f>
        <v>#REF!</v>
      </c>
      <c r="N63" s="355" t="s">
        <v>388</v>
      </c>
      <c r="O63" s="361" t="e">
        <f>#REF!/#REF!</f>
        <v>#REF!</v>
      </c>
      <c r="P63" s="346"/>
      <c r="R63" s="346"/>
    </row>
    <row r="64" spans="11:16" ht="24.75" customHeight="1">
      <c r="K64" s="349"/>
      <c r="L64" s="364" t="s">
        <v>419</v>
      </c>
      <c r="M64" s="360">
        <f>'[7]M7 Thop tien CHV'!$H$12</f>
        <v>2212774.5</v>
      </c>
      <c r="N64" s="360" t="s">
        <v>389</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420</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421</v>
      </c>
      <c r="M72" s="355" t="e">
        <f>#REF!</f>
        <v>#REF!</v>
      </c>
      <c r="N72" s="355"/>
      <c r="O72" s="355"/>
      <c r="P72" s="346"/>
    </row>
    <row r="73" spans="11:16" ht="24.75" customHeight="1">
      <c r="K73" s="349"/>
      <c r="L73" s="364" t="s">
        <v>422</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390</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391</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E4" sqref="E4"/>
    </sheetView>
  </sheetViews>
  <sheetFormatPr defaultColWidth="9.00390625" defaultRowHeight="15.75"/>
  <cols>
    <col min="1" max="1" width="23.50390625" style="0" customWidth="1"/>
    <col min="2" max="2" width="66.125" style="0" customWidth="1"/>
  </cols>
  <sheetData>
    <row r="2" spans="1:2" ht="62.25" customHeight="1">
      <c r="A2" s="886" t="s">
        <v>431</v>
      </c>
      <c r="B2" s="886"/>
    </row>
    <row r="3" spans="1:2" ht="22.5" customHeight="1">
      <c r="A3" s="383" t="s">
        <v>424</v>
      </c>
      <c r="B3" s="553" t="s">
        <v>577</v>
      </c>
    </row>
    <row r="4" spans="1:2" ht="22.5" customHeight="1">
      <c r="A4" s="383" t="s">
        <v>423</v>
      </c>
      <c r="B4" s="384" t="s">
        <v>433</v>
      </c>
    </row>
    <row r="5" spans="1:2" ht="22.5" customHeight="1">
      <c r="A5" s="383" t="s">
        <v>425</v>
      </c>
      <c r="B5" s="391" t="s">
        <v>434</v>
      </c>
    </row>
    <row r="6" spans="1:2" ht="22.5" customHeight="1">
      <c r="A6" s="383" t="s">
        <v>426</v>
      </c>
      <c r="B6" s="391" t="s">
        <v>509</v>
      </c>
    </row>
    <row r="7" spans="1:2" ht="22.5" customHeight="1">
      <c r="A7" s="383" t="s">
        <v>427</v>
      </c>
      <c r="B7" s="391" t="s">
        <v>436</v>
      </c>
    </row>
    <row r="8" spans="1:2" ht="15.75">
      <c r="A8" s="385" t="s">
        <v>428</v>
      </c>
      <c r="B8" s="392" t="s">
        <v>581</v>
      </c>
    </row>
    <row r="10" spans="1:2" ht="62.25" customHeight="1">
      <c r="A10" s="887" t="s">
        <v>432</v>
      </c>
      <c r="B10" s="887"/>
    </row>
    <row r="11" spans="1:2" ht="15.75">
      <c r="A11" s="888"/>
      <c r="B11" s="888"/>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V34"/>
  <sheetViews>
    <sheetView view="pageBreakPreview" zoomScale="120" zoomScaleNormal="80" zoomScaleSheetLayoutView="120" zoomScalePageLayoutView="0" workbookViewId="0" topLeftCell="A7">
      <pane xSplit="3" ySplit="6" topLeftCell="D14" activePane="bottomRight" state="frozen"/>
      <selection pane="topLeft" activeCell="A7" sqref="A7"/>
      <selection pane="topRight" activeCell="D7" sqref="D7"/>
      <selection pane="bottomLeft" activeCell="A13" sqref="A13"/>
      <selection pane="bottomRight" activeCell="E18" sqref="E18"/>
    </sheetView>
  </sheetViews>
  <sheetFormatPr defaultColWidth="9.00390625" defaultRowHeight="15.75"/>
  <cols>
    <col min="1" max="1" width="4.75390625" style="0" customWidth="1"/>
    <col min="2" max="2" width="11.50390625" style="0" customWidth="1"/>
    <col min="3" max="5" width="6.625" style="0" customWidth="1"/>
    <col min="6" max="6" width="5.50390625" style="0" customWidth="1"/>
    <col min="7" max="12" width="6.625" style="0" customWidth="1"/>
    <col min="13" max="13" width="5.00390625" style="0" customWidth="1"/>
    <col min="14" max="14" width="5.375" style="0" customWidth="1"/>
    <col min="15" max="15" width="6.00390625" style="0" customWidth="1"/>
    <col min="16" max="19" width="6.625" style="0" customWidth="1"/>
    <col min="20" max="20" width="8.50390625" style="0" customWidth="1"/>
  </cols>
  <sheetData>
    <row r="1" spans="1:19" ht="15.75">
      <c r="A1" s="393"/>
      <c r="B1" s="393"/>
      <c r="C1" s="393"/>
      <c r="D1" s="393"/>
      <c r="E1" s="393"/>
      <c r="F1" s="393"/>
      <c r="G1" s="393"/>
      <c r="H1" s="393"/>
      <c r="I1" s="393"/>
      <c r="J1" s="393"/>
      <c r="K1" s="393"/>
      <c r="L1" s="393"/>
      <c r="M1" s="393"/>
      <c r="N1" s="393"/>
      <c r="O1" s="393"/>
      <c r="P1" s="393"/>
      <c r="Q1" s="393"/>
      <c r="R1" s="393"/>
      <c r="S1" s="393"/>
    </row>
    <row r="2" spans="1:19" ht="16.5">
      <c r="A2" s="394" t="s">
        <v>523</v>
      </c>
      <c r="B2" s="394"/>
      <c r="C2" s="394"/>
      <c r="D2" s="393"/>
      <c r="E2" s="893" t="s">
        <v>66</v>
      </c>
      <c r="F2" s="893"/>
      <c r="G2" s="893"/>
      <c r="H2" s="893"/>
      <c r="I2" s="893"/>
      <c r="J2" s="893"/>
      <c r="K2" s="893"/>
      <c r="L2" s="893"/>
      <c r="M2" s="893"/>
      <c r="N2" s="893"/>
      <c r="O2" s="893"/>
      <c r="P2" s="894" t="s">
        <v>429</v>
      </c>
      <c r="Q2" s="894"/>
      <c r="R2" s="894"/>
      <c r="S2" s="894"/>
    </row>
    <row r="3" spans="1:19" ht="16.5">
      <c r="A3" s="895" t="s">
        <v>245</v>
      </c>
      <c r="B3" s="895"/>
      <c r="C3" s="895"/>
      <c r="D3" s="895"/>
      <c r="E3" s="896" t="s">
        <v>34</v>
      </c>
      <c r="F3" s="896"/>
      <c r="G3" s="896"/>
      <c r="H3" s="896"/>
      <c r="I3" s="896"/>
      <c r="J3" s="896"/>
      <c r="K3" s="896"/>
      <c r="L3" s="896"/>
      <c r="M3" s="896"/>
      <c r="N3" s="896"/>
      <c r="O3" s="896"/>
      <c r="P3" s="892" t="str">
        <f>'Thong tin'!B4</f>
        <v>CTHADS TRÀ VINH</v>
      </c>
      <c r="Q3" s="892"/>
      <c r="R3" s="892"/>
      <c r="S3" s="892"/>
    </row>
    <row r="4" spans="1:19" ht="16.5">
      <c r="A4" s="895" t="s">
        <v>246</v>
      </c>
      <c r="B4" s="895"/>
      <c r="C4" s="895"/>
      <c r="D4" s="895"/>
      <c r="E4" s="897" t="str">
        <f>'Thong tin'!B3</f>
        <v>01 tháng / năm 2020</v>
      </c>
      <c r="F4" s="897"/>
      <c r="G4" s="897"/>
      <c r="H4" s="897"/>
      <c r="I4" s="897"/>
      <c r="J4" s="897"/>
      <c r="K4" s="897"/>
      <c r="L4" s="897"/>
      <c r="M4" s="897"/>
      <c r="N4" s="897"/>
      <c r="O4" s="897"/>
      <c r="P4" s="894" t="s">
        <v>447</v>
      </c>
      <c r="Q4" s="894"/>
      <c r="R4" s="894"/>
      <c r="S4" s="894"/>
    </row>
    <row r="5" spans="1:19" ht="15.75">
      <c r="A5" s="394" t="s">
        <v>521</v>
      </c>
      <c r="B5" s="394"/>
      <c r="C5" s="394"/>
      <c r="D5" s="394"/>
      <c r="E5" s="394"/>
      <c r="F5" s="394"/>
      <c r="G5" s="394"/>
      <c r="H5" s="394"/>
      <c r="I5" s="394"/>
      <c r="J5" s="394"/>
      <c r="K5" s="394"/>
      <c r="L5" s="394"/>
      <c r="M5" s="394"/>
      <c r="N5" s="432"/>
      <c r="O5" s="432"/>
      <c r="P5" s="892" t="s">
        <v>520</v>
      </c>
      <c r="Q5" s="892"/>
      <c r="R5" s="892"/>
      <c r="S5" s="892"/>
    </row>
    <row r="6" spans="1:19" ht="15.75">
      <c r="A6" s="393"/>
      <c r="B6" s="431"/>
      <c r="C6" s="431"/>
      <c r="D6" s="393"/>
      <c r="E6" s="393"/>
      <c r="F6" s="393"/>
      <c r="G6" s="393"/>
      <c r="H6" s="393"/>
      <c r="I6" s="393"/>
      <c r="J6" s="393"/>
      <c r="K6" s="393"/>
      <c r="L6" s="393"/>
      <c r="M6" s="393"/>
      <c r="N6" s="393"/>
      <c r="O6" s="393"/>
      <c r="P6" s="898" t="s">
        <v>8</v>
      </c>
      <c r="Q6" s="898"/>
      <c r="R6" s="898"/>
      <c r="S6" s="898"/>
    </row>
    <row r="7" spans="1:21" ht="15.75" customHeight="1">
      <c r="A7" s="899" t="s">
        <v>57</v>
      </c>
      <c r="B7" s="900"/>
      <c r="C7" s="905" t="s">
        <v>126</v>
      </c>
      <c r="D7" s="906"/>
      <c r="E7" s="907"/>
      <c r="F7" s="908" t="s">
        <v>101</v>
      </c>
      <c r="G7" s="911" t="s">
        <v>127</v>
      </c>
      <c r="H7" s="914" t="s">
        <v>102</v>
      </c>
      <c r="I7" s="915"/>
      <c r="J7" s="915"/>
      <c r="K7" s="915"/>
      <c r="L7" s="915"/>
      <c r="M7" s="915"/>
      <c r="N7" s="915"/>
      <c r="O7" s="915"/>
      <c r="P7" s="915"/>
      <c r="Q7" s="916"/>
      <c r="R7" s="917" t="s">
        <v>250</v>
      </c>
      <c r="S7" s="919" t="s">
        <v>519</v>
      </c>
      <c r="T7" s="937"/>
      <c r="U7" s="937"/>
    </row>
    <row r="8" spans="1:21" ht="15.75">
      <c r="A8" s="901"/>
      <c r="B8" s="902"/>
      <c r="C8" s="917" t="s">
        <v>42</v>
      </c>
      <c r="D8" s="923" t="s">
        <v>7</v>
      </c>
      <c r="E8" s="924"/>
      <c r="F8" s="909"/>
      <c r="G8" s="912"/>
      <c r="H8" s="911" t="s">
        <v>31</v>
      </c>
      <c r="I8" s="923" t="s">
        <v>103</v>
      </c>
      <c r="J8" s="926"/>
      <c r="K8" s="926"/>
      <c r="L8" s="926"/>
      <c r="M8" s="926"/>
      <c r="N8" s="926"/>
      <c r="O8" s="926"/>
      <c r="P8" s="927"/>
      <c r="Q8" s="924" t="s">
        <v>128</v>
      </c>
      <c r="R8" s="912"/>
      <c r="S8" s="891"/>
      <c r="T8" s="938"/>
      <c r="U8" s="938"/>
    </row>
    <row r="9" spans="1:21" ht="15.75">
      <c r="A9" s="901"/>
      <c r="B9" s="902"/>
      <c r="C9" s="912"/>
      <c r="D9" s="910"/>
      <c r="E9" s="925"/>
      <c r="F9" s="909"/>
      <c r="G9" s="912"/>
      <c r="H9" s="912"/>
      <c r="I9" s="911" t="s">
        <v>31</v>
      </c>
      <c r="J9" s="929" t="s">
        <v>7</v>
      </c>
      <c r="K9" s="930"/>
      <c r="L9" s="930"/>
      <c r="M9" s="930"/>
      <c r="N9" s="930"/>
      <c r="O9" s="930"/>
      <c r="P9" s="918"/>
      <c r="Q9" s="928"/>
      <c r="R9" s="912"/>
      <c r="S9" s="891"/>
      <c r="T9" s="938"/>
      <c r="U9" s="938"/>
    </row>
    <row r="10" spans="1:21" ht="15.75">
      <c r="A10" s="901"/>
      <c r="B10" s="902"/>
      <c r="C10" s="912"/>
      <c r="D10" s="917" t="s">
        <v>129</v>
      </c>
      <c r="E10" s="917" t="s">
        <v>130</v>
      </c>
      <c r="F10" s="909"/>
      <c r="G10" s="912"/>
      <c r="H10" s="912"/>
      <c r="I10" s="912"/>
      <c r="J10" s="918" t="s">
        <v>131</v>
      </c>
      <c r="K10" s="919" t="s">
        <v>132</v>
      </c>
      <c r="L10" s="891" t="s">
        <v>105</v>
      </c>
      <c r="M10" s="911" t="s">
        <v>133</v>
      </c>
      <c r="N10" s="911" t="s">
        <v>108</v>
      </c>
      <c r="O10" s="911" t="s">
        <v>251</v>
      </c>
      <c r="P10" s="911" t="s">
        <v>111</v>
      </c>
      <c r="Q10" s="928"/>
      <c r="R10" s="912"/>
      <c r="S10" s="891"/>
      <c r="T10" s="938"/>
      <c r="U10" s="938"/>
    </row>
    <row r="11" spans="1:21" ht="15.75">
      <c r="A11" s="903"/>
      <c r="B11" s="904"/>
      <c r="C11" s="913"/>
      <c r="D11" s="913"/>
      <c r="E11" s="913"/>
      <c r="F11" s="910"/>
      <c r="G11" s="913"/>
      <c r="H11" s="913"/>
      <c r="I11" s="913"/>
      <c r="J11" s="918"/>
      <c r="K11" s="919"/>
      <c r="L11" s="891"/>
      <c r="M11" s="913"/>
      <c r="N11" s="913" t="s">
        <v>108</v>
      </c>
      <c r="O11" s="913" t="s">
        <v>251</v>
      </c>
      <c r="P11" s="913" t="s">
        <v>111</v>
      </c>
      <c r="Q11" s="925"/>
      <c r="R11" s="913"/>
      <c r="S11" s="891"/>
      <c r="T11" s="938"/>
      <c r="U11" s="938"/>
    </row>
    <row r="12" spans="1:21" ht="15.75">
      <c r="A12" s="920" t="s">
        <v>6</v>
      </c>
      <c r="B12" s="921"/>
      <c r="C12" s="430">
        <v>1</v>
      </c>
      <c r="D12" s="430">
        <v>2</v>
      </c>
      <c r="E12" s="430">
        <v>3</v>
      </c>
      <c r="F12" s="430">
        <v>4</v>
      </c>
      <c r="G12" s="430">
        <v>5</v>
      </c>
      <c r="H12" s="430">
        <v>6</v>
      </c>
      <c r="I12" s="430">
        <v>7</v>
      </c>
      <c r="J12" s="430">
        <v>8</v>
      </c>
      <c r="K12" s="430">
        <v>9</v>
      </c>
      <c r="L12" s="430">
        <v>10</v>
      </c>
      <c r="M12" s="430">
        <v>11</v>
      </c>
      <c r="N12" s="430">
        <v>12</v>
      </c>
      <c r="O12" s="430">
        <v>13</v>
      </c>
      <c r="P12" s="430">
        <v>14</v>
      </c>
      <c r="Q12" s="430">
        <v>15</v>
      </c>
      <c r="R12" s="430">
        <v>16</v>
      </c>
      <c r="S12" s="430">
        <v>17</v>
      </c>
      <c r="T12" s="429"/>
      <c r="U12" s="429"/>
    </row>
    <row r="13" spans="1:22" ht="15.75">
      <c r="A13" s="1011" t="s">
        <v>30</v>
      </c>
      <c r="B13" s="1035"/>
      <c r="C13" s="1036">
        <f aca="true" t="shared" si="0" ref="C13:R13">+C14+C15</f>
        <v>9760</v>
      </c>
      <c r="D13" s="1036">
        <f t="shared" si="0"/>
        <v>8708</v>
      </c>
      <c r="E13" s="1036">
        <f t="shared" si="0"/>
        <v>1052</v>
      </c>
      <c r="F13" s="1036">
        <f t="shared" si="0"/>
        <v>8</v>
      </c>
      <c r="G13" s="1036">
        <f t="shared" si="0"/>
        <v>2</v>
      </c>
      <c r="H13" s="1036">
        <f t="shared" si="0"/>
        <v>9752</v>
      </c>
      <c r="I13" s="1036">
        <f t="shared" si="0"/>
        <v>5338</v>
      </c>
      <c r="J13" s="1036">
        <f t="shared" si="0"/>
        <v>428</v>
      </c>
      <c r="K13" s="1036">
        <f t="shared" si="0"/>
        <v>23</v>
      </c>
      <c r="L13" s="1036">
        <f t="shared" si="0"/>
        <v>4772</v>
      </c>
      <c r="M13" s="1036">
        <f t="shared" si="0"/>
        <v>33</v>
      </c>
      <c r="N13" s="1036">
        <f t="shared" si="0"/>
        <v>2</v>
      </c>
      <c r="O13" s="1036">
        <f t="shared" si="0"/>
        <v>0</v>
      </c>
      <c r="P13" s="1036">
        <f t="shared" si="0"/>
        <v>80</v>
      </c>
      <c r="Q13" s="1036">
        <f t="shared" si="0"/>
        <v>4414</v>
      </c>
      <c r="R13" s="1036">
        <f t="shared" si="0"/>
        <v>9301</v>
      </c>
      <c r="S13" s="1037">
        <f aca="true" t="shared" si="1" ref="S13:S24">(((J13+K13))/I13)*100</f>
        <v>8.448857249906332</v>
      </c>
      <c r="T13" s="428"/>
      <c r="U13" s="427"/>
      <c r="V13" s="428"/>
    </row>
    <row r="14" spans="1:22" ht="15.75">
      <c r="A14" s="1038" t="s">
        <v>0</v>
      </c>
      <c r="B14" s="508" t="s">
        <v>446</v>
      </c>
      <c r="C14" s="1036">
        <f>'06'!C12</f>
        <v>333</v>
      </c>
      <c r="D14" s="1036">
        <f>'06'!D12</f>
        <v>313</v>
      </c>
      <c r="E14" s="1036">
        <f>'06'!E12</f>
        <v>20</v>
      </c>
      <c r="F14" s="1036">
        <f>'06'!F12</f>
        <v>0</v>
      </c>
      <c r="G14" s="1036">
        <f>'06'!G12</f>
        <v>1</v>
      </c>
      <c r="H14" s="1036">
        <f>'06'!H12</f>
        <v>333</v>
      </c>
      <c r="I14" s="1036">
        <f>'06'!I12</f>
        <v>143</v>
      </c>
      <c r="J14" s="1036">
        <f>'06'!J12</f>
        <v>4</v>
      </c>
      <c r="K14" s="1036">
        <f>'06'!K12</f>
        <v>0</v>
      </c>
      <c r="L14" s="1036">
        <f>'06'!L12</f>
        <v>130</v>
      </c>
      <c r="M14" s="1036">
        <f>'06'!M12</f>
        <v>3</v>
      </c>
      <c r="N14" s="1036">
        <f>'06'!N12</f>
        <v>1</v>
      </c>
      <c r="O14" s="1036">
        <f>'06'!O12</f>
        <v>0</v>
      </c>
      <c r="P14" s="1036">
        <f>'06'!P12</f>
        <v>5</v>
      </c>
      <c r="Q14" s="1036">
        <f>'06'!Q12</f>
        <v>190</v>
      </c>
      <c r="R14" s="1036">
        <f>'06'!R12</f>
        <v>329</v>
      </c>
      <c r="S14" s="1037">
        <f t="shared" si="1"/>
        <v>2.797202797202797</v>
      </c>
      <c r="T14" s="428"/>
      <c r="U14" s="427"/>
      <c r="V14" s="428"/>
    </row>
    <row r="15" spans="1:22" ht="15.75">
      <c r="A15" s="1039" t="s">
        <v>1</v>
      </c>
      <c r="B15" s="1040" t="s">
        <v>17</v>
      </c>
      <c r="C15" s="1036">
        <f aca="true" t="shared" si="2" ref="C15:R15">SUM(C16:C24)</f>
        <v>9427</v>
      </c>
      <c r="D15" s="1036">
        <f t="shared" si="2"/>
        <v>8395</v>
      </c>
      <c r="E15" s="1036">
        <f t="shared" si="2"/>
        <v>1032</v>
      </c>
      <c r="F15" s="1036">
        <f t="shared" si="2"/>
        <v>8</v>
      </c>
      <c r="G15" s="1036">
        <f t="shared" si="2"/>
        <v>1</v>
      </c>
      <c r="H15" s="1036">
        <f t="shared" si="2"/>
        <v>9419</v>
      </c>
      <c r="I15" s="1036">
        <f t="shared" si="2"/>
        <v>5195</v>
      </c>
      <c r="J15" s="1036">
        <f t="shared" si="2"/>
        <v>424</v>
      </c>
      <c r="K15" s="1036">
        <f t="shared" si="2"/>
        <v>23</v>
      </c>
      <c r="L15" s="1036">
        <f t="shared" si="2"/>
        <v>4642</v>
      </c>
      <c r="M15" s="1036">
        <f t="shared" si="2"/>
        <v>30</v>
      </c>
      <c r="N15" s="1036">
        <f t="shared" si="2"/>
        <v>1</v>
      </c>
      <c r="O15" s="1036">
        <f t="shared" si="2"/>
        <v>0</v>
      </c>
      <c r="P15" s="1036">
        <f t="shared" si="2"/>
        <v>75</v>
      </c>
      <c r="Q15" s="1036">
        <f t="shared" si="2"/>
        <v>4224</v>
      </c>
      <c r="R15" s="1036">
        <f t="shared" si="2"/>
        <v>8972</v>
      </c>
      <c r="S15" s="1037">
        <f t="shared" si="1"/>
        <v>8.604427333974977</v>
      </c>
      <c r="T15" s="428"/>
      <c r="U15" s="427"/>
      <c r="V15" s="428"/>
    </row>
    <row r="16" spans="1:22" ht="15.75">
      <c r="A16" s="486" t="s">
        <v>43</v>
      </c>
      <c r="B16" s="508" t="s">
        <v>445</v>
      </c>
      <c r="C16" s="1036">
        <f>'06'!C23</f>
        <v>1084</v>
      </c>
      <c r="D16" s="1036">
        <f>'06'!D23</f>
        <v>959</v>
      </c>
      <c r="E16" s="1036">
        <f>'06'!E23</f>
        <v>125</v>
      </c>
      <c r="F16" s="1036">
        <f>'06'!F23</f>
        <v>0</v>
      </c>
      <c r="G16" s="1036">
        <f>'06'!G23</f>
        <v>1</v>
      </c>
      <c r="H16" s="1036">
        <f>'06'!H23</f>
        <v>1084</v>
      </c>
      <c r="I16" s="1036">
        <f>'06'!I23</f>
        <v>504</v>
      </c>
      <c r="J16" s="1036">
        <f>'06'!J23</f>
        <v>63</v>
      </c>
      <c r="K16" s="1036">
        <f>'06'!K23</f>
        <v>1</v>
      </c>
      <c r="L16" s="1036">
        <f>'06'!L23</f>
        <v>410</v>
      </c>
      <c r="M16" s="1036">
        <f>'06'!M23</f>
        <v>20</v>
      </c>
      <c r="N16" s="1036">
        <f>'06'!N23</f>
        <v>0</v>
      </c>
      <c r="O16" s="1036">
        <f>'06'!O23</f>
        <v>0</v>
      </c>
      <c r="P16" s="1036">
        <f>'06'!P23</f>
        <v>10</v>
      </c>
      <c r="Q16" s="1036">
        <f>'06'!Q23</f>
        <v>580</v>
      </c>
      <c r="R16" s="1036">
        <f>'06'!R23</f>
        <v>1020</v>
      </c>
      <c r="S16" s="1037">
        <f t="shared" si="1"/>
        <v>12.698412698412698</v>
      </c>
      <c r="T16" s="428"/>
      <c r="U16" s="427"/>
      <c r="V16" s="428"/>
    </row>
    <row r="17" spans="1:22" ht="15.75">
      <c r="A17" s="486" t="s">
        <v>44</v>
      </c>
      <c r="B17" s="1041" t="s">
        <v>444</v>
      </c>
      <c r="C17" s="1036">
        <f>'06'!C32</f>
        <v>1523</v>
      </c>
      <c r="D17" s="1036">
        <f>'06'!D32</f>
        <v>1324</v>
      </c>
      <c r="E17" s="1036">
        <f>'06'!E32</f>
        <v>199</v>
      </c>
      <c r="F17" s="1036">
        <f>'06'!F32</f>
        <v>7</v>
      </c>
      <c r="G17" s="1036">
        <f>'06'!G32</f>
        <v>0</v>
      </c>
      <c r="H17" s="1036">
        <f>'06'!H32</f>
        <v>1516</v>
      </c>
      <c r="I17" s="1036">
        <f>'06'!I32</f>
        <v>874</v>
      </c>
      <c r="J17" s="1036">
        <f>'06'!J32</f>
        <v>80</v>
      </c>
      <c r="K17" s="1036">
        <f>'06'!K32</f>
        <v>2</v>
      </c>
      <c r="L17" s="1036">
        <f>'06'!L32</f>
        <v>792</v>
      </c>
      <c r="M17" s="1036">
        <f>'06'!M32</f>
        <v>0</v>
      </c>
      <c r="N17" s="1036">
        <f>'06'!N32</f>
        <v>0</v>
      </c>
      <c r="O17" s="1036">
        <f>'06'!O32</f>
        <v>0</v>
      </c>
      <c r="P17" s="1036">
        <f>'06'!P32</f>
        <v>0</v>
      </c>
      <c r="Q17" s="1036">
        <f>'06'!Q32</f>
        <v>642</v>
      </c>
      <c r="R17" s="1036">
        <f>'06'!R32</f>
        <v>1434</v>
      </c>
      <c r="S17" s="1037">
        <f t="shared" si="1"/>
        <v>9.382151029748284</v>
      </c>
      <c r="T17" s="428"/>
      <c r="U17" s="427"/>
      <c r="V17" s="428"/>
    </row>
    <row r="18" spans="1:22" ht="15.75">
      <c r="A18" s="486" t="s">
        <v>49</v>
      </c>
      <c r="B18" s="508" t="s">
        <v>443</v>
      </c>
      <c r="C18" s="1036">
        <f>'06'!C38</f>
        <v>718</v>
      </c>
      <c r="D18" s="1036">
        <f>'06'!D38</f>
        <v>664</v>
      </c>
      <c r="E18" s="1036">
        <f>'06'!E38</f>
        <v>54</v>
      </c>
      <c r="F18" s="1036">
        <f>'06'!F38</f>
        <v>0</v>
      </c>
      <c r="G18" s="1036">
        <f>'06'!G38</f>
        <v>0</v>
      </c>
      <c r="H18" s="1036">
        <f>'06'!H38</f>
        <v>718</v>
      </c>
      <c r="I18" s="1036">
        <f>'06'!I38</f>
        <v>319</v>
      </c>
      <c r="J18" s="1036">
        <f>'06'!J38</f>
        <v>26</v>
      </c>
      <c r="K18" s="1036">
        <f>'06'!K38</f>
        <v>0</v>
      </c>
      <c r="L18" s="1036">
        <f>'06'!L38</f>
        <v>288</v>
      </c>
      <c r="M18" s="1036">
        <f>'06'!M38</f>
        <v>3</v>
      </c>
      <c r="N18" s="1036">
        <f>'06'!N38</f>
        <v>0</v>
      </c>
      <c r="O18" s="1036">
        <f>'06'!O38</f>
        <v>0</v>
      </c>
      <c r="P18" s="1036">
        <f>'06'!P38</f>
        <v>2</v>
      </c>
      <c r="Q18" s="1036">
        <f>'06'!Q38</f>
        <v>399</v>
      </c>
      <c r="R18" s="1036">
        <f>'06'!R38</f>
        <v>692</v>
      </c>
      <c r="S18" s="1037">
        <f t="shared" si="1"/>
        <v>8.150470219435736</v>
      </c>
      <c r="T18" s="428"/>
      <c r="U18" s="427"/>
      <c r="V18" s="428"/>
    </row>
    <row r="19" spans="1:22" ht="15.75">
      <c r="A19" s="486" t="s">
        <v>58</v>
      </c>
      <c r="B19" s="508" t="s">
        <v>442</v>
      </c>
      <c r="C19" s="1036">
        <f>'06'!C44</f>
        <v>603</v>
      </c>
      <c r="D19" s="1036">
        <f>'06'!D44</f>
        <v>520</v>
      </c>
      <c r="E19" s="1036">
        <f>'06'!E44</f>
        <v>83</v>
      </c>
      <c r="F19" s="1036">
        <f>'06'!F44</f>
        <v>0</v>
      </c>
      <c r="G19" s="1036">
        <f>'06'!G44</f>
        <v>0</v>
      </c>
      <c r="H19" s="1036">
        <f>'06'!H44</f>
        <v>603</v>
      </c>
      <c r="I19" s="1036">
        <f>'06'!I44</f>
        <v>360</v>
      </c>
      <c r="J19" s="1036">
        <f>'06'!J44</f>
        <v>38</v>
      </c>
      <c r="K19" s="1036">
        <f>'06'!K44</f>
        <v>1</v>
      </c>
      <c r="L19" s="1036">
        <f>'06'!L44</f>
        <v>321</v>
      </c>
      <c r="M19" s="1036">
        <f>'06'!M44</f>
        <v>0</v>
      </c>
      <c r="N19" s="1036">
        <f>'06'!N44</f>
        <v>0</v>
      </c>
      <c r="O19" s="1036">
        <f>'06'!O44</f>
        <v>0</v>
      </c>
      <c r="P19" s="1036">
        <f>'06'!P44</f>
        <v>0</v>
      </c>
      <c r="Q19" s="1036">
        <f>'06'!Q44</f>
        <v>243</v>
      </c>
      <c r="R19" s="1036">
        <f>'06'!R44</f>
        <v>564</v>
      </c>
      <c r="S19" s="1037">
        <f t="shared" si="1"/>
        <v>10.833333333333334</v>
      </c>
      <c r="T19" s="428"/>
      <c r="U19" s="427"/>
      <c r="V19" s="428"/>
    </row>
    <row r="20" spans="1:22" ht="15.75">
      <c r="A20" s="486" t="s">
        <v>59</v>
      </c>
      <c r="B20" s="508" t="s">
        <v>441</v>
      </c>
      <c r="C20" s="1036">
        <f>'06'!C48</f>
        <v>628</v>
      </c>
      <c r="D20" s="1036">
        <f>'06'!D48</f>
        <v>537</v>
      </c>
      <c r="E20" s="1036">
        <f>'06'!E48</f>
        <v>91</v>
      </c>
      <c r="F20" s="1036">
        <f>'06'!F48</f>
        <v>0</v>
      </c>
      <c r="G20" s="1036">
        <f>'06'!G48</f>
        <v>0</v>
      </c>
      <c r="H20" s="1036">
        <f>'06'!H48</f>
        <v>628</v>
      </c>
      <c r="I20" s="1036">
        <f>'06'!I48</f>
        <v>320</v>
      </c>
      <c r="J20" s="1036">
        <f>'06'!J48</f>
        <v>34</v>
      </c>
      <c r="K20" s="1036">
        <f>'06'!K48</f>
        <v>2</v>
      </c>
      <c r="L20" s="1036">
        <f>'06'!L48</f>
        <v>280</v>
      </c>
      <c r="M20" s="1036">
        <f>'06'!M48</f>
        <v>4</v>
      </c>
      <c r="N20" s="1036">
        <f>'06'!N48</f>
        <v>0</v>
      </c>
      <c r="O20" s="1036">
        <f>'06'!O48</f>
        <v>0</v>
      </c>
      <c r="P20" s="1036">
        <f>'06'!P48</f>
        <v>0</v>
      </c>
      <c r="Q20" s="1036">
        <f>'06'!Q48</f>
        <v>308</v>
      </c>
      <c r="R20" s="1036">
        <f>'06'!R48</f>
        <v>592</v>
      </c>
      <c r="S20" s="1037">
        <f t="shared" si="1"/>
        <v>11.25</v>
      </c>
      <c r="T20" s="428"/>
      <c r="U20" s="427"/>
      <c r="V20" s="428"/>
    </row>
    <row r="21" spans="1:22" ht="15.75">
      <c r="A21" s="486" t="s">
        <v>60</v>
      </c>
      <c r="B21" s="508" t="s">
        <v>440</v>
      </c>
      <c r="C21" s="1036">
        <f>'06'!C54</f>
        <v>1324</v>
      </c>
      <c r="D21" s="1036">
        <f>'06'!D54</f>
        <v>1228</v>
      </c>
      <c r="E21" s="1036">
        <f>'06'!E54</f>
        <v>96</v>
      </c>
      <c r="F21" s="1036">
        <f>'06'!F54</f>
        <v>0</v>
      </c>
      <c r="G21" s="1036">
        <f>'06'!G54</f>
        <v>0</v>
      </c>
      <c r="H21" s="1036">
        <f>'06'!H54</f>
        <v>1324</v>
      </c>
      <c r="I21" s="1036">
        <f>'06'!I54</f>
        <v>832</v>
      </c>
      <c r="J21" s="1036">
        <f>'06'!J54</f>
        <v>61</v>
      </c>
      <c r="K21" s="1036">
        <f>'06'!K54</f>
        <v>1</v>
      </c>
      <c r="L21" s="1036">
        <f>'06'!L54</f>
        <v>770</v>
      </c>
      <c r="M21" s="1036">
        <f>'06'!M54</f>
        <v>0</v>
      </c>
      <c r="N21" s="1036">
        <f>'06'!N54</f>
        <v>0</v>
      </c>
      <c r="O21" s="1036">
        <f>'06'!O54</f>
        <v>0</v>
      </c>
      <c r="P21" s="1036">
        <f>'06'!P54</f>
        <v>0</v>
      </c>
      <c r="Q21" s="1036">
        <f>'06'!Q54</f>
        <v>492</v>
      </c>
      <c r="R21" s="1036">
        <f>'06'!R54</f>
        <v>1262</v>
      </c>
      <c r="S21" s="1037">
        <f t="shared" si="1"/>
        <v>7.451923076923077</v>
      </c>
      <c r="T21" s="428"/>
      <c r="U21" s="427"/>
      <c r="V21" s="428"/>
    </row>
    <row r="22" spans="1:22" ht="15.75">
      <c r="A22" s="486" t="s">
        <v>61</v>
      </c>
      <c r="B22" s="508" t="s">
        <v>439</v>
      </c>
      <c r="C22" s="1036">
        <f>'06'!C61</f>
        <v>1386</v>
      </c>
      <c r="D22" s="1036">
        <f>'06'!D61</f>
        <v>1160</v>
      </c>
      <c r="E22" s="1036">
        <f>'06'!E61</f>
        <v>226</v>
      </c>
      <c r="F22" s="1036">
        <f>'06'!F61</f>
        <v>1</v>
      </c>
      <c r="G22" s="1036">
        <f>'06'!G61</f>
        <v>0</v>
      </c>
      <c r="H22" s="1036">
        <f>'06'!H61</f>
        <v>1385</v>
      </c>
      <c r="I22" s="1036">
        <f>'06'!I61</f>
        <v>794</v>
      </c>
      <c r="J22" s="1036">
        <f>'06'!J61</f>
        <v>62</v>
      </c>
      <c r="K22" s="1036">
        <f>'06'!K61</f>
        <v>2</v>
      </c>
      <c r="L22" s="1036">
        <f>'06'!L61</f>
        <v>666</v>
      </c>
      <c r="M22" s="1036">
        <f>'06'!M61</f>
        <v>1</v>
      </c>
      <c r="N22" s="1036">
        <f>'06'!N61</f>
        <v>0</v>
      </c>
      <c r="O22" s="1036">
        <f>'06'!O61</f>
        <v>0</v>
      </c>
      <c r="P22" s="1036">
        <f>'06'!P61</f>
        <v>63</v>
      </c>
      <c r="Q22" s="1036">
        <f>'06'!Q61</f>
        <v>591</v>
      </c>
      <c r="R22" s="1036">
        <f>'06'!R61</f>
        <v>1321</v>
      </c>
      <c r="S22" s="1037">
        <f t="shared" si="1"/>
        <v>8.060453400503778</v>
      </c>
      <c r="T22" s="428"/>
      <c r="U22" s="427"/>
      <c r="V22" s="428"/>
    </row>
    <row r="23" spans="1:22" ht="15.75">
      <c r="A23" s="486" t="s">
        <v>62</v>
      </c>
      <c r="B23" s="508" t="s">
        <v>438</v>
      </c>
      <c r="C23" s="1036">
        <f>'06'!C68</f>
        <v>1426</v>
      </c>
      <c r="D23" s="1036">
        <f>'06'!D68</f>
        <v>1390</v>
      </c>
      <c r="E23" s="1036">
        <f>'06'!E68</f>
        <v>36</v>
      </c>
      <c r="F23" s="1036">
        <f>'06'!F68</f>
        <v>0</v>
      </c>
      <c r="G23" s="1036">
        <f>'06'!G68</f>
        <v>0</v>
      </c>
      <c r="H23" s="1036">
        <f>'06'!H68</f>
        <v>1426</v>
      </c>
      <c r="I23" s="1036">
        <f>'06'!I68</f>
        <v>799</v>
      </c>
      <c r="J23" s="1036">
        <f>'06'!J68</f>
        <v>16</v>
      </c>
      <c r="K23" s="1036">
        <f>'06'!K68</f>
        <v>13</v>
      </c>
      <c r="L23" s="1036">
        <f>'06'!L68</f>
        <v>769</v>
      </c>
      <c r="M23" s="1036">
        <f>'06'!M68</f>
        <v>0</v>
      </c>
      <c r="N23" s="1036">
        <f>'06'!N68</f>
        <v>1</v>
      </c>
      <c r="O23" s="1036">
        <f>'06'!O68</f>
        <v>0</v>
      </c>
      <c r="P23" s="1036">
        <f>'06'!P68</f>
        <v>0</v>
      </c>
      <c r="Q23" s="1036">
        <f>'06'!Q68</f>
        <v>627</v>
      </c>
      <c r="R23" s="1036">
        <f>'06'!R68</f>
        <v>1397</v>
      </c>
      <c r="S23" s="1037">
        <f t="shared" si="1"/>
        <v>3.629536921151439</v>
      </c>
      <c r="T23" s="428"/>
      <c r="U23" s="427"/>
      <c r="V23" s="428"/>
    </row>
    <row r="24" spans="1:22" ht="15.75">
      <c r="A24" s="486" t="s">
        <v>63</v>
      </c>
      <c r="B24" s="508" t="s">
        <v>437</v>
      </c>
      <c r="C24" s="1036">
        <f>'06'!C74</f>
        <v>735</v>
      </c>
      <c r="D24" s="1036">
        <f>'06'!D74</f>
        <v>613</v>
      </c>
      <c r="E24" s="1036">
        <f>'06'!E74</f>
        <v>122</v>
      </c>
      <c r="F24" s="1036">
        <f>'06'!F74</f>
        <v>0</v>
      </c>
      <c r="G24" s="1036">
        <f>'06'!G74</f>
        <v>0</v>
      </c>
      <c r="H24" s="1036">
        <f>'06'!H74</f>
        <v>735</v>
      </c>
      <c r="I24" s="1036">
        <f>'06'!I74</f>
        <v>393</v>
      </c>
      <c r="J24" s="1036">
        <f>'06'!J74</f>
        <v>44</v>
      </c>
      <c r="K24" s="1036">
        <f>'06'!K74</f>
        <v>1</v>
      </c>
      <c r="L24" s="1036">
        <f>'06'!L74</f>
        <v>346</v>
      </c>
      <c r="M24" s="1036">
        <f>'06'!M74</f>
        <v>2</v>
      </c>
      <c r="N24" s="1036">
        <f>'06'!N74</f>
        <v>0</v>
      </c>
      <c r="O24" s="1036">
        <f>'06'!O74</f>
        <v>0</v>
      </c>
      <c r="P24" s="1036">
        <f>'06'!P74</f>
        <v>0</v>
      </c>
      <c r="Q24" s="1036">
        <f>'06'!Q74</f>
        <v>342</v>
      </c>
      <c r="R24" s="1036">
        <f>'06'!R74</f>
        <v>690</v>
      </c>
      <c r="S24" s="1037">
        <f t="shared" si="1"/>
        <v>11.450381679389313</v>
      </c>
      <c r="T24" s="428"/>
      <c r="U24" s="427"/>
      <c r="V24" s="428"/>
    </row>
    <row r="25" spans="1:19" ht="16.5">
      <c r="A25" s="426"/>
      <c r="B25" s="426"/>
      <c r="C25" s="426"/>
      <c r="D25" s="426"/>
      <c r="E25" s="426"/>
      <c r="F25" s="425"/>
      <c r="G25" s="425"/>
      <c r="H25" s="425"/>
      <c r="I25" s="425"/>
      <c r="J25" s="425"/>
      <c r="K25" s="425"/>
      <c r="L25" s="425"/>
      <c r="M25" s="922" t="str">
        <f>'Thong tin'!B8</f>
        <v>Trà Vinh, ngày 04 tháng11 năm 2019</v>
      </c>
      <c r="N25" s="922"/>
      <c r="O25" s="922"/>
      <c r="P25" s="922"/>
      <c r="Q25" s="922"/>
      <c r="R25" s="922"/>
      <c r="S25" s="922"/>
    </row>
    <row r="26" spans="1:19" ht="16.5">
      <c r="A26" s="424"/>
      <c r="B26" s="939"/>
      <c r="C26" s="939"/>
      <c r="D26" s="939"/>
      <c r="E26" s="939"/>
      <c r="F26" s="423"/>
      <c r="G26" s="423"/>
      <c r="H26" s="423"/>
      <c r="I26" s="423"/>
      <c r="J26" s="423"/>
      <c r="K26" s="423"/>
      <c r="L26" s="423"/>
      <c r="M26" s="423"/>
      <c r="N26" s="940" t="str">
        <f>'Thong tin'!B7</f>
        <v>PHÓ CỤC TRƯỞNG</v>
      </c>
      <c r="O26" s="940"/>
      <c r="P26" s="940"/>
      <c r="Q26" s="940"/>
      <c r="R26" s="940"/>
      <c r="S26" s="940"/>
    </row>
    <row r="27" spans="1:19" ht="16.5">
      <c r="A27" s="393"/>
      <c r="B27" s="939" t="s">
        <v>4</v>
      </c>
      <c r="C27" s="939"/>
      <c r="D27" s="939"/>
      <c r="E27" s="939"/>
      <c r="F27" s="394"/>
      <c r="G27" s="394"/>
      <c r="H27" s="394"/>
      <c r="I27" s="394"/>
      <c r="J27" s="394"/>
      <c r="K27" s="394"/>
      <c r="L27" s="394"/>
      <c r="M27" s="394"/>
      <c r="N27" s="931"/>
      <c r="O27" s="931"/>
      <c r="P27" s="931"/>
      <c r="Q27" s="931"/>
      <c r="R27" s="931"/>
      <c r="S27" s="931"/>
    </row>
    <row r="28" spans="1:19" ht="15.75">
      <c r="A28" s="393"/>
      <c r="B28" s="393"/>
      <c r="C28" s="393"/>
      <c r="D28" s="394"/>
      <c r="E28" s="394"/>
      <c r="F28" s="394"/>
      <c r="G28" s="394"/>
      <c r="H28" s="394"/>
      <c r="I28" s="394"/>
      <c r="J28" s="394"/>
      <c r="K28" s="394"/>
      <c r="L28" s="394"/>
      <c r="M28" s="394"/>
      <c r="N28" s="394"/>
      <c r="O28" s="394"/>
      <c r="P28" s="394"/>
      <c r="Q28" s="394"/>
      <c r="R28" s="393"/>
      <c r="S28" s="393"/>
    </row>
    <row r="29" spans="1:19" ht="15.75">
      <c r="A29" s="393"/>
      <c r="B29" s="393"/>
      <c r="C29" s="393"/>
      <c r="D29" s="394"/>
      <c r="E29" s="394"/>
      <c r="F29" s="394"/>
      <c r="G29" s="394"/>
      <c r="H29" s="394"/>
      <c r="I29" s="394"/>
      <c r="J29" s="394"/>
      <c r="K29" s="394"/>
      <c r="L29" s="394"/>
      <c r="M29" s="394"/>
      <c r="N29" s="394"/>
      <c r="O29" s="394"/>
      <c r="P29" s="394"/>
      <c r="Q29" s="394"/>
      <c r="R29" s="393"/>
      <c r="S29" s="393"/>
    </row>
    <row r="30" spans="1:19" ht="15.75">
      <c r="A30" s="422"/>
      <c r="B30" s="393"/>
      <c r="C30" s="393"/>
      <c r="D30" s="394"/>
      <c r="E30" s="394"/>
      <c r="F30" s="394"/>
      <c r="G30" s="394"/>
      <c r="H30" s="394"/>
      <c r="I30" s="394"/>
      <c r="J30" s="394"/>
      <c r="K30" s="394"/>
      <c r="L30" s="394"/>
      <c r="M30" s="394"/>
      <c r="N30" s="394"/>
      <c r="O30" s="394"/>
      <c r="P30" s="394"/>
      <c r="Q30" s="394"/>
      <c r="R30" s="393"/>
      <c r="S30" s="393"/>
    </row>
    <row r="31" spans="1:19" ht="15.75">
      <c r="A31" s="393"/>
      <c r="B31" s="932"/>
      <c r="C31" s="932"/>
      <c r="D31" s="932"/>
      <c r="E31" s="932"/>
      <c r="F31" s="932"/>
      <c r="G31" s="932"/>
      <c r="H31" s="932"/>
      <c r="I31" s="932"/>
      <c r="J31" s="932"/>
      <c r="K31" s="932"/>
      <c r="L31" s="932"/>
      <c r="M31" s="932"/>
      <c r="N31" s="932"/>
      <c r="O31" s="932"/>
      <c r="P31" s="394"/>
      <c r="Q31" s="394"/>
      <c r="R31" s="393"/>
      <c r="S31" s="393"/>
    </row>
    <row r="32" spans="1:19" ht="15.75">
      <c r="A32" s="393"/>
      <c r="B32" s="421"/>
      <c r="C32" s="421"/>
      <c r="D32" s="421"/>
      <c r="E32" s="421"/>
      <c r="F32" s="421"/>
      <c r="G32" s="421"/>
      <c r="H32" s="421"/>
      <c r="I32" s="421"/>
      <c r="J32" s="421"/>
      <c r="K32" s="421"/>
      <c r="L32" s="421"/>
      <c r="M32" s="421"/>
      <c r="N32" s="421"/>
      <c r="O32" s="421"/>
      <c r="P32" s="394"/>
      <c r="Q32" s="394"/>
      <c r="R32" s="393"/>
      <c r="S32" s="393"/>
    </row>
    <row r="33" spans="1:19" ht="15.75">
      <c r="A33" s="393"/>
      <c r="B33" s="936"/>
      <c r="C33" s="936"/>
      <c r="D33" s="936"/>
      <c r="E33" s="936"/>
      <c r="F33" s="421"/>
      <c r="G33" s="421"/>
      <c r="H33" s="421"/>
      <c r="I33" s="421"/>
      <c r="J33" s="421"/>
      <c r="K33" s="421"/>
      <c r="L33" s="421"/>
      <c r="M33" s="421"/>
      <c r="N33" s="421"/>
      <c r="O33" s="935"/>
      <c r="P33" s="935"/>
      <c r="Q33" s="935"/>
      <c r="R33" s="935"/>
      <c r="S33" s="393"/>
    </row>
    <row r="34" spans="1:19" ht="15.75">
      <c r="A34" s="420"/>
      <c r="B34" s="933" t="str">
        <f>'Thong tin'!B5</f>
        <v>Nhan Quốc Hải</v>
      </c>
      <c r="C34" s="933"/>
      <c r="D34" s="933"/>
      <c r="E34" s="933"/>
      <c r="F34" s="420"/>
      <c r="G34" s="420"/>
      <c r="H34" s="420"/>
      <c r="I34" s="420"/>
      <c r="J34" s="420"/>
      <c r="K34" s="420"/>
      <c r="L34" s="420"/>
      <c r="M34" s="420"/>
      <c r="N34" s="420"/>
      <c r="O34" s="934" t="str">
        <f>'Thong tin'!B6</f>
        <v>Nguyễn Minh Khiêm</v>
      </c>
      <c r="P34" s="934"/>
      <c r="Q34" s="934"/>
      <c r="R34" s="934"/>
      <c r="S34" s="393"/>
    </row>
  </sheetData>
  <sheetProtection/>
  <mergeCells count="47">
    <mergeCell ref="U7:U11"/>
    <mergeCell ref="B31:O31"/>
    <mergeCell ref="B34:E34"/>
    <mergeCell ref="O34:R34"/>
    <mergeCell ref="O33:R33"/>
    <mergeCell ref="B33:E33"/>
    <mergeCell ref="T7:T11"/>
    <mergeCell ref="A13:B13"/>
    <mergeCell ref="B26:E26"/>
    <mergeCell ref="N26:S26"/>
    <mergeCell ref="B27:E27"/>
    <mergeCell ref="N27:S27"/>
    <mergeCell ref="L10:L11"/>
    <mergeCell ref="M10:M11"/>
    <mergeCell ref="N10:N11"/>
    <mergeCell ref="O10:O11"/>
    <mergeCell ref="P10:P11"/>
    <mergeCell ref="S7:S11"/>
    <mergeCell ref="A12:B12"/>
    <mergeCell ref="M25:S25"/>
    <mergeCell ref="D8:E9"/>
    <mergeCell ref="H8:H11"/>
    <mergeCell ref="I8:P8"/>
    <mergeCell ref="Q8:Q11"/>
    <mergeCell ref="I9:I11"/>
    <mergeCell ref="J9:P9"/>
    <mergeCell ref="D10:D11"/>
    <mergeCell ref="E10:E11"/>
    <mergeCell ref="P6:S6"/>
    <mergeCell ref="A7:B11"/>
    <mergeCell ref="C7:E7"/>
    <mergeCell ref="F7:F11"/>
    <mergeCell ref="G7:G11"/>
    <mergeCell ref="H7:Q7"/>
    <mergeCell ref="R7:R11"/>
    <mergeCell ref="C8:C11"/>
    <mergeCell ref="J10:J11"/>
    <mergeCell ref="K10:K11"/>
    <mergeCell ref="P5:S5"/>
    <mergeCell ref="E2:O2"/>
    <mergeCell ref="P2:S2"/>
    <mergeCell ref="A3:D3"/>
    <mergeCell ref="E3:O3"/>
    <mergeCell ref="P3:S3"/>
    <mergeCell ref="A4:D4"/>
    <mergeCell ref="E4:O4"/>
    <mergeCell ref="P4:S4"/>
  </mergeCells>
  <printOptions/>
  <pageMargins left="0" right="0" top="0.75" bottom="0" header="0.3" footer="0.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V33"/>
  <sheetViews>
    <sheetView view="pageBreakPreview" zoomScale="140" zoomScaleNormal="80" zoomScaleSheetLayoutView="140" zoomScalePageLayoutView="0" workbookViewId="0" topLeftCell="A19">
      <selection activeCell="L5" sqref="L5"/>
    </sheetView>
  </sheetViews>
  <sheetFormatPr defaultColWidth="9.00390625" defaultRowHeight="15.75"/>
  <cols>
    <col min="1" max="1" width="3.125" style="0" customWidth="1"/>
    <col min="2" max="2" width="9.25390625" style="0" customWidth="1"/>
    <col min="3" max="5" width="6.625" style="0" customWidth="1"/>
    <col min="6" max="6" width="5.25390625" style="0" customWidth="1"/>
    <col min="7" max="7" width="4.875" style="0" customWidth="1"/>
    <col min="8" max="11" width="6.625" style="0" customWidth="1"/>
    <col min="12" max="12" width="4.50390625" style="0" customWidth="1"/>
    <col min="13" max="14" width="6.625" style="0" customWidth="1"/>
    <col min="15" max="15" width="5.625" style="0" customWidth="1"/>
    <col min="16" max="16" width="5.25390625" style="0" customWidth="1"/>
    <col min="17" max="20" width="6.625" style="0" customWidth="1"/>
  </cols>
  <sheetData>
    <row r="1" spans="1:21" ht="16.5">
      <c r="A1" s="394" t="s">
        <v>526</v>
      </c>
      <c r="B1" s="394"/>
      <c r="C1" s="394"/>
      <c r="D1" s="393"/>
      <c r="E1" s="893" t="s">
        <v>525</v>
      </c>
      <c r="F1" s="893"/>
      <c r="G1" s="893"/>
      <c r="H1" s="893"/>
      <c r="I1" s="893"/>
      <c r="J1" s="893"/>
      <c r="K1" s="893"/>
      <c r="L1" s="893"/>
      <c r="M1" s="893"/>
      <c r="N1" s="893"/>
      <c r="O1" s="893"/>
      <c r="P1" s="893"/>
      <c r="Q1" s="945" t="s">
        <v>429</v>
      </c>
      <c r="R1" s="945"/>
      <c r="S1" s="945"/>
      <c r="T1" s="945"/>
      <c r="U1" s="393"/>
    </row>
    <row r="2" spans="1:21" ht="16.5">
      <c r="A2" s="895" t="s">
        <v>245</v>
      </c>
      <c r="B2" s="895"/>
      <c r="C2" s="895"/>
      <c r="D2" s="895"/>
      <c r="E2" s="896" t="s">
        <v>34</v>
      </c>
      <c r="F2" s="896"/>
      <c r="G2" s="896"/>
      <c r="H2" s="896"/>
      <c r="I2" s="896"/>
      <c r="J2" s="896"/>
      <c r="K2" s="896"/>
      <c r="L2" s="896"/>
      <c r="M2" s="896"/>
      <c r="N2" s="896"/>
      <c r="O2" s="896"/>
      <c r="P2" s="896"/>
      <c r="Q2" s="951" t="s">
        <v>522</v>
      </c>
      <c r="R2" s="951"/>
      <c r="S2" s="951"/>
      <c r="T2" s="951"/>
      <c r="U2" s="393"/>
    </row>
    <row r="3" spans="1:21" ht="16.5">
      <c r="A3" s="895" t="s">
        <v>246</v>
      </c>
      <c r="B3" s="895"/>
      <c r="C3" s="895"/>
      <c r="D3" s="895"/>
      <c r="E3" s="897" t="str">
        <f>'Thong tin'!B3</f>
        <v>01 tháng / năm 2020</v>
      </c>
      <c r="F3" s="889"/>
      <c r="G3" s="889"/>
      <c r="H3" s="889"/>
      <c r="I3" s="889"/>
      <c r="J3" s="889"/>
      <c r="K3" s="889"/>
      <c r="L3" s="889"/>
      <c r="M3" s="889"/>
      <c r="N3" s="889"/>
      <c r="O3" s="889"/>
      <c r="P3" s="889"/>
      <c r="Q3" s="945" t="s">
        <v>447</v>
      </c>
      <c r="R3" s="945"/>
      <c r="S3" s="945"/>
      <c r="T3" s="945"/>
      <c r="U3" s="393"/>
    </row>
    <row r="4" spans="1:21" ht="15.75">
      <c r="A4" s="394" t="s">
        <v>521</v>
      </c>
      <c r="B4" s="394"/>
      <c r="C4" s="394"/>
      <c r="D4" s="394"/>
      <c r="E4" s="394"/>
      <c r="F4" s="394"/>
      <c r="G4" s="394"/>
      <c r="H4" s="394"/>
      <c r="I4" s="394"/>
      <c r="J4" s="394"/>
      <c r="K4" s="394"/>
      <c r="L4" s="394"/>
      <c r="M4" s="394"/>
      <c r="N4" s="394"/>
      <c r="O4" s="432"/>
      <c r="P4" s="432"/>
      <c r="Q4" s="951" t="s">
        <v>520</v>
      </c>
      <c r="R4" s="951"/>
      <c r="S4" s="951"/>
      <c r="T4" s="951"/>
      <c r="U4" s="393"/>
    </row>
    <row r="5" spans="1:21" ht="15.75">
      <c r="A5" s="393"/>
      <c r="B5" s="431"/>
      <c r="C5" s="431"/>
      <c r="D5" s="393"/>
      <c r="E5" s="393"/>
      <c r="F5" s="393"/>
      <c r="G5" s="393"/>
      <c r="H5" s="393"/>
      <c r="I5" s="393"/>
      <c r="J5" s="393"/>
      <c r="K5" s="393"/>
      <c r="L5" s="393"/>
      <c r="M5" s="393"/>
      <c r="N5" s="393"/>
      <c r="O5" s="393"/>
      <c r="P5" s="393"/>
      <c r="Q5" s="941" t="s">
        <v>430</v>
      </c>
      <c r="R5" s="941"/>
      <c r="S5" s="941"/>
      <c r="T5" s="941"/>
      <c r="U5" s="393"/>
    </row>
    <row r="6" spans="1:21" ht="15.75" customHeight="1">
      <c r="A6" s="968" t="s">
        <v>57</v>
      </c>
      <c r="B6" s="968"/>
      <c r="C6" s="960" t="s">
        <v>126</v>
      </c>
      <c r="D6" s="961"/>
      <c r="E6" s="962"/>
      <c r="F6" s="971" t="s">
        <v>101</v>
      </c>
      <c r="G6" s="942" t="s">
        <v>127</v>
      </c>
      <c r="H6" s="956" t="s">
        <v>102</v>
      </c>
      <c r="I6" s="957"/>
      <c r="J6" s="957"/>
      <c r="K6" s="957"/>
      <c r="L6" s="957"/>
      <c r="M6" s="957"/>
      <c r="N6" s="957"/>
      <c r="O6" s="957"/>
      <c r="P6" s="957"/>
      <c r="Q6" s="957"/>
      <c r="R6" s="958"/>
      <c r="S6" s="947" t="s">
        <v>250</v>
      </c>
      <c r="T6" s="955" t="s">
        <v>524</v>
      </c>
      <c r="U6" s="393"/>
    </row>
    <row r="7" spans="1:21" ht="15.75">
      <c r="A7" s="968"/>
      <c r="B7" s="968"/>
      <c r="C7" s="947" t="s">
        <v>42</v>
      </c>
      <c r="D7" s="952" t="s">
        <v>7</v>
      </c>
      <c r="E7" s="963"/>
      <c r="F7" s="972"/>
      <c r="G7" s="944"/>
      <c r="H7" s="942" t="s">
        <v>31</v>
      </c>
      <c r="I7" s="952" t="s">
        <v>103</v>
      </c>
      <c r="J7" s="953"/>
      <c r="K7" s="953"/>
      <c r="L7" s="953"/>
      <c r="M7" s="953"/>
      <c r="N7" s="953"/>
      <c r="O7" s="953"/>
      <c r="P7" s="953"/>
      <c r="Q7" s="954"/>
      <c r="R7" s="963" t="s">
        <v>128</v>
      </c>
      <c r="S7" s="944"/>
      <c r="T7" s="955"/>
      <c r="U7" s="393"/>
    </row>
    <row r="8" spans="1:21" ht="15.75">
      <c r="A8" s="968"/>
      <c r="B8" s="968"/>
      <c r="C8" s="944"/>
      <c r="D8" s="966"/>
      <c r="E8" s="965"/>
      <c r="F8" s="972"/>
      <c r="G8" s="944"/>
      <c r="H8" s="944"/>
      <c r="I8" s="942" t="s">
        <v>31</v>
      </c>
      <c r="J8" s="948" t="s">
        <v>7</v>
      </c>
      <c r="K8" s="949"/>
      <c r="L8" s="949"/>
      <c r="M8" s="949"/>
      <c r="N8" s="949"/>
      <c r="O8" s="949"/>
      <c r="P8" s="949"/>
      <c r="Q8" s="950"/>
      <c r="R8" s="964"/>
      <c r="S8" s="944"/>
      <c r="T8" s="955"/>
      <c r="U8" s="393"/>
    </row>
    <row r="9" spans="1:21" ht="15.75">
      <c r="A9" s="968"/>
      <c r="B9" s="968"/>
      <c r="C9" s="944"/>
      <c r="D9" s="947" t="s">
        <v>129</v>
      </c>
      <c r="E9" s="947" t="s">
        <v>130</v>
      </c>
      <c r="F9" s="972"/>
      <c r="G9" s="944"/>
      <c r="H9" s="944"/>
      <c r="I9" s="944"/>
      <c r="J9" s="950" t="s">
        <v>131</v>
      </c>
      <c r="K9" s="955" t="s">
        <v>132</v>
      </c>
      <c r="L9" s="955" t="s">
        <v>124</v>
      </c>
      <c r="M9" s="946" t="s">
        <v>105</v>
      </c>
      <c r="N9" s="942" t="s">
        <v>133</v>
      </c>
      <c r="O9" s="942" t="s">
        <v>108</v>
      </c>
      <c r="P9" s="942" t="s">
        <v>251</v>
      </c>
      <c r="Q9" s="942" t="s">
        <v>111</v>
      </c>
      <c r="R9" s="964"/>
      <c r="S9" s="944"/>
      <c r="T9" s="955"/>
      <c r="U9" s="489"/>
    </row>
    <row r="10" spans="1:21" ht="15.75">
      <c r="A10" s="968"/>
      <c r="B10" s="968"/>
      <c r="C10" s="943"/>
      <c r="D10" s="943"/>
      <c r="E10" s="943"/>
      <c r="F10" s="966"/>
      <c r="G10" s="943"/>
      <c r="H10" s="943"/>
      <c r="I10" s="943"/>
      <c r="J10" s="950"/>
      <c r="K10" s="955"/>
      <c r="L10" s="955"/>
      <c r="M10" s="946"/>
      <c r="N10" s="943"/>
      <c r="O10" s="943" t="s">
        <v>108</v>
      </c>
      <c r="P10" s="943" t="s">
        <v>251</v>
      </c>
      <c r="Q10" s="943" t="s">
        <v>111</v>
      </c>
      <c r="R10" s="965"/>
      <c r="S10" s="943"/>
      <c r="T10" s="955"/>
      <c r="U10" s="393"/>
    </row>
    <row r="11" spans="1:21" ht="15.75">
      <c r="A11" s="959" t="s">
        <v>6</v>
      </c>
      <c r="B11" s="959"/>
      <c r="C11" s="470" t="s">
        <v>43</v>
      </c>
      <c r="D11" s="470" t="s">
        <v>44</v>
      </c>
      <c r="E11" s="470" t="s">
        <v>49</v>
      </c>
      <c r="F11" s="470" t="s">
        <v>58</v>
      </c>
      <c r="G11" s="470" t="s">
        <v>59</v>
      </c>
      <c r="H11" s="470" t="s">
        <v>60</v>
      </c>
      <c r="I11" s="470" t="s">
        <v>61</v>
      </c>
      <c r="J11" s="470" t="s">
        <v>62</v>
      </c>
      <c r="K11" s="470" t="s">
        <v>63</v>
      </c>
      <c r="L11" s="470" t="s">
        <v>83</v>
      </c>
      <c r="M11" s="470" t="s">
        <v>84</v>
      </c>
      <c r="N11" s="470" t="s">
        <v>85</v>
      </c>
      <c r="O11" s="470" t="s">
        <v>86</v>
      </c>
      <c r="P11" s="470" t="s">
        <v>87</v>
      </c>
      <c r="Q11" s="470" t="s">
        <v>253</v>
      </c>
      <c r="R11" s="470" t="s">
        <v>518</v>
      </c>
      <c r="S11" s="470" t="s">
        <v>517</v>
      </c>
      <c r="T11" s="470" t="s">
        <v>516</v>
      </c>
      <c r="U11" s="393"/>
    </row>
    <row r="12" spans="1:21" ht="15.75">
      <c r="A12" s="970" t="s">
        <v>30</v>
      </c>
      <c r="B12" s="970"/>
      <c r="C12" s="469">
        <f>D12+E12</f>
        <v>845325637</v>
      </c>
      <c r="D12" s="469">
        <f aca="true" t="shared" si="0" ref="D12:L12">D13+D14</f>
        <v>706925899</v>
      </c>
      <c r="E12" s="469">
        <f t="shared" si="0"/>
        <v>138399738</v>
      </c>
      <c r="F12" s="469">
        <f t="shared" si="0"/>
        <v>1192418</v>
      </c>
      <c r="G12" s="469">
        <f t="shared" si="0"/>
        <v>56528</v>
      </c>
      <c r="H12" s="469">
        <f t="shared" si="0"/>
        <v>844133219</v>
      </c>
      <c r="I12" s="469">
        <f t="shared" si="0"/>
        <v>513642163</v>
      </c>
      <c r="J12" s="469">
        <f t="shared" si="0"/>
        <v>14779235</v>
      </c>
      <c r="K12" s="469">
        <f t="shared" si="0"/>
        <v>2471711</v>
      </c>
      <c r="L12" s="469">
        <f t="shared" si="0"/>
        <v>0</v>
      </c>
      <c r="M12" s="469">
        <f aca="true" t="shared" si="1" ref="M12:S12">M13+M14</f>
        <v>491559835</v>
      </c>
      <c r="N12" s="469">
        <f t="shared" si="1"/>
        <v>2896850</v>
      </c>
      <c r="O12" s="469">
        <f t="shared" si="1"/>
        <v>56600</v>
      </c>
      <c r="P12" s="469">
        <f t="shared" si="1"/>
        <v>0</v>
      </c>
      <c r="Q12" s="469">
        <f t="shared" si="1"/>
        <v>1877932</v>
      </c>
      <c r="R12" s="469">
        <f t="shared" si="1"/>
        <v>330491056</v>
      </c>
      <c r="S12" s="469">
        <f t="shared" si="1"/>
        <v>826882273</v>
      </c>
      <c r="T12" s="468">
        <f aca="true" t="shared" si="2" ref="T12:T23">(((J12+K12+L12))/I12)*100</f>
        <v>3.3585533358950515</v>
      </c>
      <c r="U12" s="438"/>
    </row>
    <row r="13" spans="1:22" ht="15.75">
      <c r="A13" s="471" t="s">
        <v>0</v>
      </c>
      <c r="B13" s="472" t="s">
        <v>446</v>
      </c>
      <c r="C13" s="469">
        <f>'07'!C12</f>
        <v>122861454</v>
      </c>
      <c r="D13" s="469">
        <f>'07'!D12</f>
        <v>100272090</v>
      </c>
      <c r="E13" s="469">
        <f>'07'!E12</f>
        <v>22589364</v>
      </c>
      <c r="F13" s="469">
        <f>'07'!F12</f>
        <v>0</v>
      </c>
      <c r="G13" s="469">
        <f>'07'!G12</f>
        <v>28264</v>
      </c>
      <c r="H13" s="469">
        <f>'07'!H12</f>
        <v>122861454</v>
      </c>
      <c r="I13" s="469">
        <f>'07'!I12</f>
        <v>70515112</v>
      </c>
      <c r="J13" s="469">
        <f>'07'!J12</f>
        <v>2678038</v>
      </c>
      <c r="K13" s="469">
        <f>'07'!K12</f>
        <v>4572</v>
      </c>
      <c r="L13" s="469">
        <f>'07'!L12</f>
        <v>0</v>
      </c>
      <c r="M13" s="469">
        <f>'07'!M12</f>
        <v>66987181</v>
      </c>
      <c r="N13" s="469">
        <f>'07'!N12</f>
        <v>633931</v>
      </c>
      <c r="O13" s="469">
        <f>'07'!O12</f>
        <v>23750</v>
      </c>
      <c r="P13" s="469">
        <f>'07'!P12</f>
        <v>0</v>
      </c>
      <c r="Q13" s="469">
        <f>'07'!Q12</f>
        <v>187640</v>
      </c>
      <c r="R13" s="469">
        <f>'07'!R12</f>
        <v>52346342</v>
      </c>
      <c r="S13" s="469">
        <f>'07'!S12</f>
        <v>120178844</v>
      </c>
      <c r="T13" s="468">
        <f t="shared" si="2"/>
        <v>3.804305097040759</v>
      </c>
      <c r="U13" s="548"/>
      <c r="V13" s="549"/>
    </row>
    <row r="14" spans="1:22" ht="15.75">
      <c r="A14" s="471" t="s">
        <v>1</v>
      </c>
      <c r="B14" s="472" t="s">
        <v>17</v>
      </c>
      <c r="C14" s="469">
        <f>SUM(C15:C23)</f>
        <v>722464183</v>
      </c>
      <c r="D14" s="469">
        <f>SUM(D15:D23)</f>
        <v>606653809</v>
      </c>
      <c r="E14" s="469">
        <f>SUM(E15:E23)</f>
        <v>115810374</v>
      </c>
      <c r="F14" s="469">
        <f>SUM(F15:F23)</f>
        <v>1192418</v>
      </c>
      <c r="G14" s="469">
        <f>SUM(G15:G23)</f>
        <v>28264</v>
      </c>
      <c r="H14" s="469">
        <f>I14+R14</f>
        <v>721271765</v>
      </c>
      <c r="I14" s="469">
        <f>SUM(J14:Q14)</f>
        <v>443127051</v>
      </c>
      <c r="J14" s="469">
        <f aca="true" t="shared" si="3" ref="J14:R14">SUM(J15:J23)</f>
        <v>12101197</v>
      </c>
      <c r="K14" s="469">
        <f t="shared" si="3"/>
        <v>2467139</v>
      </c>
      <c r="L14" s="469">
        <f t="shared" si="3"/>
        <v>0</v>
      </c>
      <c r="M14" s="469">
        <f t="shared" si="3"/>
        <v>424572654</v>
      </c>
      <c r="N14" s="469">
        <f t="shared" si="3"/>
        <v>2262919</v>
      </c>
      <c r="O14" s="469">
        <f t="shared" si="3"/>
        <v>32850</v>
      </c>
      <c r="P14" s="469">
        <f t="shared" si="3"/>
        <v>0</v>
      </c>
      <c r="Q14" s="469">
        <f t="shared" si="3"/>
        <v>1690292</v>
      </c>
      <c r="R14" s="469">
        <f t="shared" si="3"/>
        <v>278144714</v>
      </c>
      <c r="S14" s="469">
        <f>SUM(M14:R14)</f>
        <v>706703429</v>
      </c>
      <c r="T14" s="468">
        <f t="shared" si="2"/>
        <v>3.287620551966709</v>
      </c>
      <c r="U14" s="548"/>
      <c r="V14" s="549"/>
    </row>
    <row r="15" spans="1:22" ht="15.75">
      <c r="A15" s="473" t="s">
        <v>43</v>
      </c>
      <c r="B15" s="474" t="s">
        <v>445</v>
      </c>
      <c r="C15" s="469">
        <f>'07'!C23</f>
        <v>154566076</v>
      </c>
      <c r="D15" s="469">
        <f>'07'!D23</f>
        <v>146043059</v>
      </c>
      <c r="E15" s="469">
        <f>'07'!E23</f>
        <v>8523017</v>
      </c>
      <c r="F15" s="469">
        <f>'07'!F23</f>
        <v>0</v>
      </c>
      <c r="G15" s="469">
        <f>'07'!G23</f>
        <v>28264</v>
      </c>
      <c r="H15" s="469">
        <f>'07'!H23</f>
        <v>154566076</v>
      </c>
      <c r="I15" s="469">
        <f>'07'!I23</f>
        <v>73168711</v>
      </c>
      <c r="J15" s="469">
        <f>'07'!J23</f>
        <v>7538177</v>
      </c>
      <c r="K15" s="469">
        <f>'07'!K23</f>
        <v>277936</v>
      </c>
      <c r="L15" s="469">
        <f>'07'!L23</f>
        <v>0</v>
      </c>
      <c r="M15" s="469">
        <f>'07'!M23</f>
        <v>63836382</v>
      </c>
      <c r="N15" s="469">
        <f>'07'!N23</f>
        <v>1176034</v>
      </c>
      <c r="O15" s="469">
        <f>'07'!O23</f>
        <v>0</v>
      </c>
      <c r="P15" s="469">
        <f>'07'!P23</f>
        <v>0</v>
      </c>
      <c r="Q15" s="469">
        <f>'07'!Q23</f>
        <v>340182</v>
      </c>
      <c r="R15" s="469">
        <f>'07'!R23</f>
        <v>81397365</v>
      </c>
      <c r="S15" s="469">
        <f>'07'!S23</f>
        <v>146749963</v>
      </c>
      <c r="T15" s="468">
        <f t="shared" si="2"/>
        <v>10.682316106402366</v>
      </c>
      <c r="U15" s="548"/>
      <c r="V15" s="549"/>
    </row>
    <row r="16" spans="1:22" ht="15.75">
      <c r="A16" s="473" t="s">
        <v>44</v>
      </c>
      <c r="B16" s="475" t="s">
        <v>444</v>
      </c>
      <c r="C16" s="469">
        <f>'07'!C32</f>
        <v>80747711</v>
      </c>
      <c r="D16" s="469">
        <f>'07'!D32</f>
        <v>70734376</v>
      </c>
      <c r="E16" s="469">
        <f>'07'!E32</f>
        <v>10013335</v>
      </c>
      <c r="F16" s="469">
        <f>'07'!F32</f>
        <v>1189766</v>
      </c>
      <c r="G16" s="469">
        <f>'07'!G32</f>
        <v>0</v>
      </c>
      <c r="H16" s="469">
        <f>'07'!H32</f>
        <v>79557945</v>
      </c>
      <c r="I16" s="469">
        <f>'07'!I32</f>
        <v>58194355</v>
      </c>
      <c r="J16" s="469">
        <f>'07'!J32</f>
        <v>687859</v>
      </c>
      <c r="K16" s="469">
        <f>'07'!K32</f>
        <v>34882</v>
      </c>
      <c r="L16" s="469">
        <f>'07'!L32</f>
        <v>0</v>
      </c>
      <c r="M16" s="469">
        <f>'07'!M32</f>
        <v>57471614</v>
      </c>
      <c r="N16" s="469">
        <f>'07'!N32</f>
        <v>0</v>
      </c>
      <c r="O16" s="469">
        <f>'07'!O32</f>
        <v>0</v>
      </c>
      <c r="P16" s="469">
        <f>'07'!P32</f>
        <v>0</v>
      </c>
      <c r="Q16" s="469">
        <f>'07'!Q32</f>
        <v>0</v>
      </c>
      <c r="R16" s="469">
        <f>'07'!R32</f>
        <v>21363590</v>
      </c>
      <c r="S16" s="469">
        <f>'07'!S32</f>
        <v>78835204</v>
      </c>
      <c r="T16" s="468">
        <f t="shared" si="2"/>
        <v>1.2419434840372403</v>
      </c>
      <c r="U16" s="548"/>
      <c r="V16" s="549"/>
    </row>
    <row r="17" spans="1:22" ht="15.75">
      <c r="A17" s="473" t="s">
        <v>49</v>
      </c>
      <c r="B17" s="474" t="s">
        <v>443</v>
      </c>
      <c r="C17" s="469">
        <f>'07'!C38</f>
        <v>43211763</v>
      </c>
      <c r="D17" s="469">
        <f>'07'!D38</f>
        <v>40482002</v>
      </c>
      <c r="E17" s="469">
        <f>'07'!E38</f>
        <v>2729761</v>
      </c>
      <c r="F17" s="469">
        <f>'07'!F38</f>
        <v>0</v>
      </c>
      <c r="G17" s="469">
        <f>'07'!G38</f>
        <v>0</v>
      </c>
      <c r="H17" s="469">
        <f>'07'!H38</f>
        <v>43211763</v>
      </c>
      <c r="I17" s="469">
        <f>'07'!I38</f>
        <v>16649768</v>
      </c>
      <c r="J17" s="469">
        <f>'07'!J38</f>
        <v>330545</v>
      </c>
      <c r="K17" s="469">
        <f>'07'!K38</f>
        <v>163731</v>
      </c>
      <c r="L17" s="469">
        <f>'07'!L38</f>
        <v>0</v>
      </c>
      <c r="M17" s="469">
        <f>'07'!M38</f>
        <v>15382126</v>
      </c>
      <c r="N17" s="469">
        <f>'07'!N38</f>
        <v>396967</v>
      </c>
      <c r="O17" s="469">
        <f>'07'!O38</f>
        <v>0</v>
      </c>
      <c r="P17" s="469">
        <f>'07'!P38</f>
        <v>0</v>
      </c>
      <c r="Q17" s="469">
        <f>'07'!Q38</f>
        <v>376399</v>
      </c>
      <c r="R17" s="469">
        <f>'07'!R38</f>
        <v>26561995</v>
      </c>
      <c r="S17" s="469">
        <f>'07'!S38</f>
        <v>42717487</v>
      </c>
      <c r="T17" s="468">
        <f t="shared" si="2"/>
        <v>2.9686659898203986</v>
      </c>
      <c r="U17" s="548"/>
      <c r="V17" s="549"/>
    </row>
    <row r="18" spans="1:22" ht="15.75">
      <c r="A18" s="473" t="s">
        <v>58</v>
      </c>
      <c r="B18" s="474" t="s">
        <v>442</v>
      </c>
      <c r="C18" s="469">
        <f>'07'!C44</f>
        <v>30128281</v>
      </c>
      <c r="D18" s="469">
        <f>'07'!D44</f>
        <v>27522167</v>
      </c>
      <c r="E18" s="469">
        <f>'07'!E44</f>
        <v>2606114</v>
      </c>
      <c r="F18" s="469">
        <f>'07'!F44</f>
        <v>0</v>
      </c>
      <c r="G18" s="469">
        <f>'07'!G44</f>
        <v>0</v>
      </c>
      <c r="H18" s="469">
        <f>'07'!H44</f>
        <v>30128281</v>
      </c>
      <c r="I18" s="469">
        <f>'07'!I44</f>
        <v>17538148</v>
      </c>
      <c r="J18" s="469">
        <f>'07'!J44</f>
        <v>246738</v>
      </c>
      <c r="K18" s="469">
        <f>'07'!K44</f>
        <v>8908</v>
      </c>
      <c r="L18" s="469">
        <f>'07'!L44</f>
        <v>0</v>
      </c>
      <c r="M18" s="469">
        <f>'07'!M44</f>
        <v>17282502</v>
      </c>
      <c r="N18" s="469">
        <f>'07'!N44</f>
        <v>0</v>
      </c>
      <c r="O18" s="469">
        <f>'07'!O44</f>
        <v>0</v>
      </c>
      <c r="P18" s="469">
        <f>'07'!P44</f>
        <v>0</v>
      </c>
      <c r="Q18" s="469">
        <f>'07'!Q44</f>
        <v>0</v>
      </c>
      <c r="R18" s="469">
        <f>'07'!R44</f>
        <v>12590133</v>
      </c>
      <c r="S18" s="469">
        <f>'07'!S44</f>
        <v>29872635</v>
      </c>
      <c r="T18" s="468">
        <f t="shared" si="2"/>
        <v>1.4576567605655968</v>
      </c>
      <c r="U18" s="548"/>
      <c r="V18" s="549"/>
    </row>
    <row r="19" spans="1:22" ht="15.75">
      <c r="A19" s="473" t="s">
        <v>59</v>
      </c>
      <c r="B19" s="474" t="s">
        <v>441</v>
      </c>
      <c r="C19" s="469">
        <f>'07'!C48</f>
        <v>35021126</v>
      </c>
      <c r="D19" s="469">
        <f>'07'!D48</f>
        <v>31249002</v>
      </c>
      <c r="E19" s="469">
        <f>'07'!E48</f>
        <v>3772124</v>
      </c>
      <c r="F19" s="469">
        <f>'07'!F48</f>
        <v>0</v>
      </c>
      <c r="G19" s="469">
        <f>'07'!G48</f>
        <v>0</v>
      </c>
      <c r="H19" s="469">
        <f>'07'!H48</f>
        <v>35021126</v>
      </c>
      <c r="I19" s="469">
        <f>'07'!I48</f>
        <v>19545088</v>
      </c>
      <c r="J19" s="469">
        <f>'07'!J48</f>
        <v>142479</v>
      </c>
      <c r="K19" s="469">
        <f>'07'!K48</f>
        <v>100763</v>
      </c>
      <c r="L19" s="469">
        <f>'07'!L48</f>
        <v>0</v>
      </c>
      <c r="M19" s="469">
        <f>'07'!M48</f>
        <v>18900855</v>
      </c>
      <c r="N19" s="469">
        <f>'07'!N48</f>
        <v>400991</v>
      </c>
      <c r="O19" s="469">
        <f>'07'!O48</f>
        <v>0</v>
      </c>
      <c r="P19" s="469">
        <f>'07'!P48</f>
        <v>0</v>
      </c>
      <c r="Q19" s="469">
        <f>'07'!Q48</f>
        <v>0</v>
      </c>
      <c r="R19" s="469">
        <f>'07'!R48</f>
        <v>15476038</v>
      </c>
      <c r="S19" s="469">
        <f>'07'!S48</f>
        <v>34777884</v>
      </c>
      <c r="T19" s="468">
        <f t="shared" si="2"/>
        <v>1.2445172925289465</v>
      </c>
      <c r="U19" s="548"/>
      <c r="V19" s="549"/>
    </row>
    <row r="20" spans="1:22" ht="15.75">
      <c r="A20" s="473" t="s">
        <v>60</v>
      </c>
      <c r="B20" s="474" t="s">
        <v>440</v>
      </c>
      <c r="C20" s="469">
        <f>'07'!C54</f>
        <v>74416493</v>
      </c>
      <c r="D20" s="469">
        <f>'07'!D54</f>
        <v>68156095</v>
      </c>
      <c r="E20" s="469">
        <f>'07'!E54</f>
        <v>6260398</v>
      </c>
      <c r="F20" s="469">
        <f>'07'!F54</f>
        <v>0</v>
      </c>
      <c r="G20" s="469">
        <f>'07'!G54</f>
        <v>0</v>
      </c>
      <c r="H20" s="469">
        <f>'07'!H54</f>
        <v>74416493</v>
      </c>
      <c r="I20" s="469">
        <f>'07'!I54</f>
        <v>43727310</v>
      </c>
      <c r="J20" s="469">
        <f>'07'!J54</f>
        <v>676432</v>
      </c>
      <c r="K20" s="469">
        <f>'07'!K54</f>
        <v>825000</v>
      </c>
      <c r="L20" s="469">
        <f>'07'!L54</f>
        <v>0</v>
      </c>
      <c r="M20" s="469">
        <f>'07'!M54</f>
        <v>42225878</v>
      </c>
      <c r="N20" s="469">
        <f>'07'!N54</f>
        <v>0</v>
      </c>
      <c r="O20" s="469">
        <f>'07'!O54</f>
        <v>0</v>
      </c>
      <c r="P20" s="469">
        <f>'07'!P54</f>
        <v>0</v>
      </c>
      <c r="Q20" s="469">
        <f>'07'!Q54</f>
        <v>0</v>
      </c>
      <c r="R20" s="469">
        <f>'07'!R54</f>
        <v>30689183</v>
      </c>
      <c r="S20" s="469">
        <f>'07'!S54</f>
        <v>72915061</v>
      </c>
      <c r="T20" s="468">
        <f t="shared" si="2"/>
        <v>3.4336253476374377</v>
      </c>
      <c r="U20" s="548"/>
      <c r="V20" s="549"/>
    </row>
    <row r="21" spans="1:22" ht="15.75">
      <c r="A21" s="473" t="s">
        <v>61</v>
      </c>
      <c r="B21" s="474" t="s">
        <v>439</v>
      </c>
      <c r="C21" s="469">
        <f>'07'!C61</f>
        <v>52428353</v>
      </c>
      <c r="D21" s="469">
        <f>'07'!D61</f>
        <v>46497444</v>
      </c>
      <c r="E21" s="469">
        <f>'07'!E61</f>
        <v>5930909</v>
      </c>
      <c r="F21" s="469">
        <f>'07'!F61</f>
        <v>2652</v>
      </c>
      <c r="G21" s="469">
        <f>'07'!G61</f>
        <v>0</v>
      </c>
      <c r="H21" s="469">
        <f>'07'!H61</f>
        <v>52425701</v>
      </c>
      <c r="I21" s="469">
        <f>'07'!I61</f>
        <v>32290412</v>
      </c>
      <c r="J21" s="469">
        <f>'07'!J61</f>
        <v>274048</v>
      </c>
      <c r="K21" s="469">
        <f>'07'!K61</f>
        <v>15683</v>
      </c>
      <c r="L21" s="469">
        <f>'07'!L61</f>
        <v>0</v>
      </c>
      <c r="M21" s="469">
        <f>'07'!M61</f>
        <v>31024108</v>
      </c>
      <c r="N21" s="469">
        <f>'07'!N61</f>
        <v>2862</v>
      </c>
      <c r="O21" s="469">
        <f>'07'!O61</f>
        <v>0</v>
      </c>
      <c r="P21" s="469">
        <f>'07'!P61</f>
        <v>0</v>
      </c>
      <c r="Q21" s="469">
        <f>'07'!Q61</f>
        <v>973711</v>
      </c>
      <c r="R21" s="469">
        <f>'07'!R61</f>
        <v>20135289</v>
      </c>
      <c r="S21" s="469">
        <f>'07'!S61</f>
        <v>52135970</v>
      </c>
      <c r="T21" s="468">
        <f t="shared" si="2"/>
        <v>0.8972663464312565</v>
      </c>
      <c r="U21" s="548">
        <f>C21-(F21+G21+H21)</f>
        <v>0</v>
      </c>
      <c r="V21" s="549"/>
    </row>
    <row r="22" spans="1:22" ht="15.75">
      <c r="A22" s="473" t="s">
        <v>62</v>
      </c>
      <c r="B22" s="474" t="s">
        <v>438</v>
      </c>
      <c r="C22" s="469">
        <f>'07'!C68</f>
        <v>152639910</v>
      </c>
      <c r="D22" s="469">
        <f>'07'!D68</f>
        <v>117011258</v>
      </c>
      <c r="E22" s="469">
        <f>'07'!E68</f>
        <v>35628652</v>
      </c>
      <c r="F22" s="469">
        <f>'07'!F68</f>
        <v>0</v>
      </c>
      <c r="G22" s="469">
        <f>'07'!G68</f>
        <v>0</v>
      </c>
      <c r="H22" s="469">
        <f>'07'!H68</f>
        <v>152639910</v>
      </c>
      <c r="I22" s="469">
        <f>'07'!I68</f>
        <v>116147537</v>
      </c>
      <c r="J22" s="469">
        <f>'07'!J68</f>
        <v>1414967</v>
      </c>
      <c r="K22" s="469">
        <f>'07'!K68</f>
        <v>858236</v>
      </c>
      <c r="L22" s="469">
        <f>'07'!L68</f>
        <v>0</v>
      </c>
      <c r="M22" s="469">
        <f>'07'!M68</f>
        <v>113841484</v>
      </c>
      <c r="N22" s="469">
        <f>'07'!N68</f>
        <v>0</v>
      </c>
      <c r="O22" s="469">
        <f>'07'!O68</f>
        <v>32850</v>
      </c>
      <c r="P22" s="469">
        <f>'07'!P68</f>
        <v>0</v>
      </c>
      <c r="Q22" s="469">
        <f>'07'!Q68</f>
        <v>0</v>
      </c>
      <c r="R22" s="469">
        <f>'07'!R68</f>
        <v>36492373</v>
      </c>
      <c r="S22" s="469">
        <f>'07'!S68</f>
        <v>150366707</v>
      </c>
      <c r="T22" s="468">
        <f t="shared" si="2"/>
        <v>1.9571684933792441</v>
      </c>
      <c r="U22" s="548">
        <f>C22-(F22+G22+H22)</f>
        <v>0</v>
      </c>
      <c r="V22" s="549"/>
    </row>
    <row r="23" spans="1:22" ht="15.75">
      <c r="A23" s="473" t="s">
        <v>63</v>
      </c>
      <c r="B23" s="474" t="s">
        <v>437</v>
      </c>
      <c r="C23" s="469">
        <f>'07'!C74</f>
        <v>99304470</v>
      </c>
      <c r="D23" s="469">
        <f>'07'!D74</f>
        <v>58958406</v>
      </c>
      <c r="E23" s="469">
        <f>'07'!E74</f>
        <v>40346064</v>
      </c>
      <c r="F23" s="469">
        <f>'07'!F74</f>
        <v>0</v>
      </c>
      <c r="G23" s="469">
        <f>'07'!G74</f>
        <v>0</v>
      </c>
      <c r="H23" s="469">
        <f>'07'!H74</f>
        <v>99304470</v>
      </c>
      <c r="I23" s="469">
        <f>'07'!I74</f>
        <v>65865722</v>
      </c>
      <c r="J23" s="469">
        <f>'07'!J74</f>
        <v>789952</v>
      </c>
      <c r="K23" s="469">
        <f>'07'!K74</f>
        <v>182000</v>
      </c>
      <c r="L23" s="469">
        <f>'07'!L74</f>
        <v>0</v>
      </c>
      <c r="M23" s="469">
        <f>'07'!M74</f>
        <v>64607705</v>
      </c>
      <c r="N23" s="469">
        <f>'07'!N74</f>
        <v>286065</v>
      </c>
      <c r="O23" s="469">
        <f>'07'!O74</f>
        <v>0</v>
      </c>
      <c r="P23" s="469">
        <f>'07'!P74</f>
        <v>0</v>
      </c>
      <c r="Q23" s="469">
        <f>'07'!Q74</f>
        <v>0</v>
      </c>
      <c r="R23" s="469">
        <f>'07'!R74</f>
        <v>33438748</v>
      </c>
      <c r="S23" s="469">
        <f>'07'!S74</f>
        <v>98332518</v>
      </c>
      <c r="T23" s="468">
        <f t="shared" si="2"/>
        <v>1.475656791555401</v>
      </c>
      <c r="U23" s="548">
        <f>C23-(F23+G23+H23)</f>
        <v>0</v>
      </c>
      <c r="V23" s="549"/>
    </row>
    <row r="24" spans="1:22" ht="16.5">
      <c r="A24" s="426"/>
      <c r="B24" s="426"/>
      <c r="C24" s="426"/>
      <c r="D24" s="426"/>
      <c r="E24" s="426"/>
      <c r="F24" s="425"/>
      <c r="G24" s="425"/>
      <c r="H24" s="425"/>
      <c r="I24" s="425"/>
      <c r="J24" s="425"/>
      <c r="K24" s="425"/>
      <c r="L24" s="425"/>
      <c r="M24" s="425"/>
      <c r="N24" s="969" t="str">
        <f>'Thong tin'!B8</f>
        <v>Trà Vinh, ngày 04 tháng11 năm 2019</v>
      </c>
      <c r="O24" s="969"/>
      <c r="P24" s="969"/>
      <c r="Q24" s="969"/>
      <c r="R24" s="969"/>
      <c r="S24" s="969"/>
      <c r="T24" s="969"/>
      <c r="U24" s="395"/>
      <c r="V24" s="549"/>
    </row>
    <row r="25" spans="1:22" ht="16.5">
      <c r="A25" s="424"/>
      <c r="B25" s="967"/>
      <c r="C25" s="967"/>
      <c r="D25" s="967"/>
      <c r="E25" s="967"/>
      <c r="F25" s="434"/>
      <c r="G25" s="434"/>
      <c r="H25" s="434"/>
      <c r="I25" s="434"/>
      <c r="J25" s="434"/>
      <c r="K25" s="434"/>
      <c r="L25" s="434"/>
      <c r="M25" s="434"/>
      <c r="N25" s="434"/>
      <c r="O25" s="940" t="str">
        <f>'Thong tin'!B7</f>
        <v>PHÓ CỤC TRƯỞNG</v>
      </c>
      <c r="P25" s="940"/>
      <c r="Q25" s="940"/>
      <c r="R25" s="940"/>
      <c r="S25" s="940"/>
      <c r="T25" s="940"/>
      <c r="U25" s="395"/>
      <c r="V25" s="549"/>
    </row>
    <row r="26" spans="1:21" ht="16.5">
      <c r="A26" s="393"/>
      <c r="B26" s="967" t="s">
        <v>4</v>
      </c>
      <c r="C26" s="967"/>
      <c r="D26" s="967"/>
      <c r="E26" s="967"/>
      <c r="F26" s="396"/>
      <c r="G26" s="396"/>
      <c r="H26" s="396"/>
      <c r="I26" s="396"/>
      <c r="J26" s="396"/>
      <c r="K26" s="396"/>
      <c r="L26" s="396"/>
      <c r="M26" s="396"/>
      <c r="N26" s="396"/>
      <c r="O26" s="940"/>
      <c r="P26" s="940"/>
      <c r="Q26" s="940"/>
      <c r="R26" s="940"/>
      <c r="S26" s="940"/>
      <c r="T26" s="940"/>
      <c r="U26" s="393"/>
    </row>
    <row r="27" spans="1:21" ht="15.75">
      <c r="A27" s="393"/>
      <c r="B27" s="435"/>
      <c r="C27" s="435"/>
      <c r="D27" s="396"/>
      <c r="E27" s="396"/>
      <c r="F27" s="396"/>
      <c r="G27" s="396"/>
      <c r="H27" s="396"/>
      <c r="I27" s="396"/>
      <c r="J27" s="396"/>
      <c r="K27" s="396"/>
      <c r="L27" s="396"/>
      <c r="M27" s="396"/>
      <c r="N27" s="396"/>
      <c r="O27" s="396"/>
      <c r="P27" s="396"/>
      <c r="Q27" s="396"/>
      <c r="R27" s="396"/>
      <c r="S27" s="435"/>
      <c r="T27" s="435"/>
      <c r="U27" s="393"/>
    </row>
    <row r="28" spans="1:21" ht="15.75">
      <c r="A28" s="393"/>
      <c r="B28" s="435"/>
      <c r="C28" s="435"/>
      <c r="D28" s="396"/>
      <c r="E28" s="396"/>
      <c r="F28" s="396"/>
      <c r="G28" s="396"/>
      <c r="H28" s="396"/>
      <c r="I28" s="396"/>
      <c r="J28" s="396"/>
      <c r="K28" s="396"/>
      <c r="L28" s="396"/>
      <c r="M28" s="396"/>
      <c r="N28" s="396"/>
      <c r="O28" s="396"/>
      <c r="P28" s="396"/>
      <c r="Q28" s="396"/>
      <c r="R28" s="396"/>
      <c r="S28" s="435"/>
      <c r="T28" s="435"/>
      <c r="U28" s="393"/>
    </row>
    <row r="29" spans="1:21" ht="15.75">
      <c r="A29" s="422"/>
      <c r="B29" s="435"/>
      <c r="C29" s="435"/>
      <c r="D29" s="396"/>
      <c r="E29" s="396"/>
      <c r="F29" s="396"/>
      <c r="G29" s="396"/>
      <c r="H29" s="396"/>
      <c r="I29" s="396"/>
      <c r="J29" s="396"/>
      <c r="K29" s="396"/>
      <c r="L29" s="396"/>
      <c r="M29" s="396"/>
      <c r="N29" s="396"/>
      <c r="O29" s="396"/>
      <c r="P29" s="396"/>
      <c r="Q29" s="396"/>
      <c r="R29" s="396"/>
      <c r="S29" s="435"/>
      <c r="T29" s="435"/>
      <c r="U29" s="393"/>
    </row>
    <row r="30" spans="1:21" ht="15.75">
      <c r="A30" s="393"/>
      <c r="B30" s="890"/>
      <c r="C30" s="890"/>
      <c r="D30" s="890"/>
      <c r="E30" s="890"/>
      <c r="F30" s="890"/>
      <c r="G30" s="890"/>
      <c r="H30" s="890"/>
      <c r="I30" s="890"/>
      <c r="J30" s="890"/>
      <c r="K30" s="890"/>
      <c r="L30" s="890"/>
      <c r="M30" s="890"/>
      <c r="N30" s="890"/>
      <c r="O30" s="890"/>
      <c r="P30" s="890"/>
      <c r="Q30" s="396"/>
      <c r="R30" s="396"/>
      <c r="S30" s="435"/>
      <c r="T30" s="435"/>
      <c r="U30" s="433">
        <f>C12-(F12+G12+H12)</f>
        <v>-56528</v>
      </c>
    </row>
    <row r="31" spans="1:21" ht="15.75">
      <c r="A31" s="393"/>
      <c r="B31" s="890"/>
      <c r="C31" s="890"/>
      <c r="D31" s="890"/>
      <c r="E31" s="890"/>
      <c r="F31" s="890"/>
      <c r="G31" s="890"/>
      <c r="H31" s="890"/>
      <c r="I31" s="890"/>
      <c r="J31" s="890"/>
      <c r="K31" s="890"/>
      <c r="L31" s="890"/>
      <c r="M31" s="890"/>
      <c r="N31" s="890"/>
      <c r="O31" s="890"/>
      <c r="P31" s="890"/>
      <c r="Q31" s="396"/>
      <c r="R31" s="396"/>
      <c r="S31" s="435"/>
      <c r="T31" s="435"/>
      <c r="U31" s="393"/>
    </row>
    <row r="32" spans="1:21" ht="15.75">
      <c r="A32" s="393"/>
      <c r="B32" s="890"/>
      <c r="C32" s="890"/>
      <c r="D32" s="890"/>
      <c r="E32" s="890"/>
      <c r="F32" s="890"/>
      <c r="G32" s="890"/>
      <c r="H32" s="890"/>
      <c r="I32" s="890"/>
      <c r="J32" s="890"/>
      <c r="K32" s="890"/>
      <c r="L32" s="890"/>
      <c r="M32" s="890"/>
      <c r="N32" s="890"/>
      <c r="O32" s="890"/>
      <c r="P32" s="890"/>
      <c r="Q32" s="396"/>
      <c r="R32" s="396"/>
      <c r="S32" s="435"/>
      <c r="T32" s="435"/>
      <c r="U32" s="393"/>
    </row>
    <row r="33" spans="1:21" ht="15.75">
      <c r="A33" s="420"/>
      <c r="B33" s="933" t="s">
        <v>434</v>
      </c>
      <c r="C33" s="933"/>
      <c r="D33" s="933"/>
      <c r="E33" s="933"/>
      <c r="F33" s="436"/>
      <c r="G33" s="436"/>
      <c r="H33" s="436"/>
      <c r="I33" s="436"/>
      <c r="J33" s="436"/>
      <c r="K33" s="436"/>
      <c r="L33" s="436"/>
      <c r="M33" s="436"/>
      <c r="N33" s="436"/>
      <c r="O33" s="933" t="str">
        <f>'Thong tin'!B6</f>
        <v>Nguyễn Minh Khiêm</v>
      </c>
      <c r="P33" s="933"/>
      <c r="Q33" s="933"/>
      <c r="R33" s="933"/>
      <c r="S33" s="933"/>
      <c r="T33" s="933"/>
      <c r="U33" s="393"/>
    </row>
  </sheetData>
  <sheetProtection/>
  <mergeCells count="46">
    <mergeCell ref="N24:T24"/>
    <mergeCell ref="B32:P32"/>
    <mergeCell ref="A12:B12"/>
    <mergeCell ref="B30:P30"/>
    <mergeCell ref="J9:J10"/>
    <mergeCell ref="B33:E33"/>
    <mergeCell ref="O33:T33"/>
    <mergeCell ref="F6:F10"/>
    <mergeCell ref="B26:E26"/>
    <mergeCell ref="O26:T26"/>
    <mergeCell ref="B31:P31"/>
    <mergeCell ref="B25:E25"/>
    <mergeCell ref="O25:T25"/>
    <mergeCell ref="A6:B10"/>
    <mergeCell ref="T6:T10"/>
    <mergeCell ref="P9:P10"/>
    <mergeCell ref="H7:H10"/>
    <mergeCell ref="A11:B11"/>
    <mergeCell ref="C6:E6"/>
    <mergeCell ref="R7:R10"/>
    <mergeCell ref="E9:E10"/>
    <mergeCell ref="D7:E8"/>
    <mergeCell ref="S6:S10"/>
    <mergeCell ref="I7:Q7"/>
    <mergeCell ref="K9:K10"/>
    <mergeCell ref="L9:L10"/>
    <mergeCell ref="H6:R6"/>
    <mergeCell ref="O9:O10"/>
    <mergeCell ref="N9:N10"/>
    <mergeCell ref="A2:D2"/>
    <mergeCell ref="D9:D10"/>
    <mergeCell ref="E1:P1"/>
    <mergeCell ref="Q1:T1"/>
    <mergeCell ref="I8:I10"/>
    <mergeCell ref="J8:Q8"/>
    <mergeCell ref="Q4:T4"/>
    <mergeCell ref="E2:P2"/>
    <mergeCell ref="C7:C10"/>
    <mergeCell ref="Q2:T2"/>
    <mergeCell ref="Q5:T5"/>
    <mergeCell ref="Q9:Q10"/>
    <mergeCell ref="E3:P3"/>
    <mergeCell ref="A3:D3"/>
    <mergeCell ref="G6:G10"/>
    <mergeCell ref="Q3:T3"/>
    <mergeCell ref="M9:M10"/>
  </mergeCells>
  <printOptions/>
  <pageMargins left="0" right="0" top="0.75" bottom="0" header="0.3" footer="0"/>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AD90"/>
  <sheetViews>
    <sheetView showZeros="0" view="pageBreakPreview" zoomScaleSheetLayoutView="100" zoomScalePageLayoutView="0" workbookViewId="0" topLeftCell="A9">
      <pane xSplit="3" ySplit="3" topLeftCell="D78" activePane="bottomRight" state="frozen"/>
      <selection pane="topLeft" activeCell="A9" sqref="A9"/>
      <selection pane="topRight" activeCell="D9" sqref="D9"/>
      <selection pane="bottomLeft" activeCell="A12" sqref="A12"/>
      <selection pane="bottomRight" activeCell="B82" sqref="B82:R84"/>
    </sheetView>
  </sheetViews>
  <sheetFormatPr defaultColWidth="9.00390625" defaultRowHeight="15.75"/>
  <cols>
    <col min="1" max="1" width="4.75390625" style="23" customWidth="1"/>
    <col min="2" max="2" width="17.625" style="23" customWidth="1"/>
    <col min="3" max="3" width="8.125" style="23" customWidth="1"/>
    <col min="4" max="4" width="7.125" style="23" customWidth="1"/>
    <col min="5" max="5" width="8.25390625" style="23" customWidth="1"/>
    <col min="6" max="6" width="6.875" style="23" customWidth="1"/>
    <col min="7" max="7" width="6.25390625" style="23" customWidth="1"/>
    <col min="8" max="8" width="7.00390625" style="23" customWidth="1"/>
    <col min="9" max="9" width="7.25390625" style="23" customWidth="1"/>
    <col min="10" max="10" width="5.875" style="23" customWidth="1"/>
    <col min="11" max="11" width="5.25390625" style="23" customWidth="1"/>
    <col min="12" max="12" width="6.375" style="23" customWidth="1"/>
    <col min="13" max="13" width="6.625" style="23" customWidth="1"/>
    <col min="14" max="14" width="6.00390625" style="23" customWidth="1"/>
    <col min="15" max="15" width="5.375" style="23" customWidth="1"/>
    <col min="16" max="16" width="5.25390625" style="23" customWidth="1"/>
    <col min="17" max="17" width="6.375" style="23" customWidth="1"/>
    <col min="18" max="18" width="7.125" style="23" customWidth="1"/>
    <col min="19" max="19" width="6.625" style="23" customWidth="1"/>
    <col min="20" max="20" width="7.875" style="23" customWidth="1"/>
    <col min="21" max="22" width="5.75390625" style="23" customWidth="1"/>
    <col min="23" max="23" width="5.25390625" style="23" customWidth="1"/>
    <col min="24" max="24" width="6.375" style="23" customWidth="1"/>
    <col min="25" max="25" width="4.875" style="23" customWidth="1"/>
    <col min="26" max="28" width="9.00390625" style="23" customWidth="1"/>
    <col min="29" max="29" width="6.25390625" style="23" customWidth="1"/>
    <col min="30" max="16384" width="9.00390625" style="23" customWidth="1"/>
  </cols>
  <sheetData>
    <row r="1" spans="1:22" ht="20.25" customHeight="1">
      <c r="A1" s="408" t="s">
        <v>27</v>
      </c>
      <c r="B1" s="408"/>
      <c r="C1" s="408"/>
      <c r="E1" s="984" t="s">
        <v>66</v>
      </c>
      <c r="F1" s="984"/>
      <c r="G1" s="984"/>
      <c r="H1" s="984"/>
      <c r="I1" s="984"/>
      <c r="J1" s="984"/>
      <c r="K1" s="984"/>
      <c r="L1" s="984"/>
      <c r="M1" s="984"/>
      <c r="N1" s="984"/>
      <c r="O1" s="984"/>
      <c r="P1" s="404" t="s">
        <v>515</v>
      </c>
      <c r="Q1" s="404"/>
      <c r="R1" s="404"/>
      <c r="S1" s="404"/>
      <c r="T1" s="404"/>
      <c r="U1" s="404"/>
      <c r="V1" s="404"/>
    </row>
    <row r="2" spans="1:22" ht="17.25" customHeight="1">
      <c r="A2" s="989" t="s">
        <v>245</v>
      </c>
      <c r="B2" s="989"/>
      <c r="C2" s="989"/>
      <c r="D2" s="989"/>
      <c r="E2" s="985" t="s">
        <v>34</v>
      </c>
      <c r="F2" s="985"/>
      <c r="G2" s="985"/>
      <c r="H2" s="985"/>
      <c r="I2" s="985"/>
      <c r="J2" s="985"/>
      <c r="K2" s="985"/>
      <c r="L2" s="985"/>
      <c r="M2" s="985"/>
      <c r="N2" s="985"/>
      <c r="O2" s="985"/>
      <c r="P2" s="987" t="str">
        <f>'Thong tin'!B4</f>
        <v>CTHADS TRÀ VINH</v>
      </c>
      <c r="Q2" s="987"/>
      <c r="R2" s="987"/>
      <c r="S2" s="987"/>
      <c r="T2" s="449"/>
      <c r="U2" s="449"/>
      <c r="V2" s="449"/>
    </row>
    <row r="3" spans="1:22" ht="19.5" customHeight="1">
      <c r="A3" s="989" t="s">
        <v>246</v>
      </c>
      <c r="B3" s="989"/>
      <c r="C3" s="989"/>
      <c r="D3" s="989"/>
      <c r="E3" s="986" t="str">
        <f>'Thong tin'!B3</f>
        <v>01 tháng / năm 2020</v>
      </c>
      <c r="F3" s="986"/>
      <c r="G3" s="986"/>
      <c r="H3" s="986"/>
      <c r="I3" s="986"/>
      <c r="J3" s="986"/>
      <c r="K3" s="986"/>
      <c r="L3" s="986"/>
      <c r="M3" s="986"/>
      <c r="N3" s="986"/>
      <c r="O3" s="986"/>
      <c r="P3" s="404" t="s">
        <v>514</v>
      </c>
      <c r="Q3" s="408"/>
      <c r="R3" s="404"/>
      <c r="S3" s="404"/>
      <c r="T3" s="404"/>
      <c r="U3" s="404"/>
      <c r="V3" s="404"/>
    </row>
    <row r="4" spans="1:22" ht="14.25" customHeight="1">
      <c r="A4" s="397" t="s">
        <v>125</v>
      </c>
      <c r="B4" s="408"/>
      <c r="C4" s="408"/>
      <c r="D4" s="408"/>
      <c r="E4" s="408"/>
      <c r="F4" s="408"/>
      <c r="G4" s="408"/>
      <c r="H4" s="408"/>
      <c r="I4" s="408"/>
      <c r="J4" s="408"/>
      <c r="K4" s="408"/>
      <c r="L4" s="408"/>
      <c r="M4" s="408"/>
      <c r="N4" s="407"/>
      <c r="O4" s="407"/>
      <c r="P4" s="988" t="s">
        <v>305</v>
      </c>
      <c r="Q4" s="988"/>
      <c r="R4" s="988"/>
      <c r="S4" s="988"/>
      <c r="T4" s="453"/>
      <c r="U4" s="453"/>
      <c r="V4" s="453"/>
    </row>
    <row r="5" spans="2:22" ht="21.75" customHeight="1">
      <c r="B5" s="380"/>
      <c r="C5" s="380"/>
      <c r="Q5" s="406" t="s">
        <v>513</v>
      </c>
      <c r="R5" s="405"/>
      <c r="S5" s="405"/>
      <c r="T5" s="405"/>
      <c r="U5" s="405"/>
      <c r="V5" s="405"/>
    </row>
    <row r="6" spans="1:22" ht="19.5" customHeight="1">
      <c r="A6" s="976" t="s">
        <v>57</v>
      </c>
      <c r="B6" s="976"/>
      <c r="C6" s="975" t="s">
        <v>126</v>
      </c>
      <c r="D6" s="975"/>
      <c r="E6" s="975"/>
      <c r="F6" s="982" t="s">
        <v>101</v>
      </c>
      <c r="G6" s="982" t="s">
        <v>127</v>
      </c>
      <c r="H6" s="983" t="s">
        <v>102</v>
      </c>
      <c r="I6" s="983"/>
      <c r="J6" s="983"/>
      <c r="K6" s="983"/>
      <c r="L6" s="983"/>
      <c r="M6" s="983"/>
      <c r="N6" s="983"/>
      <c r="O6" s="983"/>
      <c r="P6" s="983"/>
      <c r="Q6" s="983"/>
      <c r="R6" s="975" t="s">
        <v>250</v>
      </c>
      <c r="S6" s="975" t="s">
        <v>512</v>
      </c>
      <c r="T6" s="978" t="s">
        <v>527</v>
      </c>
      <c r="U6" s="978" t="s">
        <v>528</v>
      </c>
      <c r="V6" s="462"/>
    </row>
    <row r="7" spans="1:22" s="404" customFormat="1" ht="27" customHeight="1">
      <c r="A7" s="976"/>
      <c r="B7" s="976"/>
      <c r="C7" s="975" t="s">
        <v>42</v>
      </c>
      <c r="D7" s="975" t="s">
        <v>7</v>
      </c>
      <c r="E7" s="975"/>
      <c r="F7" s="982"/>
      <c r="G7" s="982"/>
      <c r="H7" s="982" t="s">
        <v>102</v>
      </c>
      <c r="I7" s="975" t="s">
        <v>103</v>
      </c>
      <c r="J7" s="975"/>
      <c r="K7" s="975"/>
      <c r="L7" s="975"/>
      <c r="M7" s="975"/>
      <c r="N7" s="975"/>
      <c r="O7" s="975"/>
      <c r="P7" s="975"/>
      <c r="Q7" s="982" t="s">
        <v>112</v>
      </c>
      <c r="R7" s="975"/>
      <c r="S7" s="975"/>
      <c r="T7" s="978"/>
      <c r="U7" s="978"/>
      <c r="V7" s="526"/>
    </row>
    <row r="8" spans="1:22" ht="21.75" customHeight="1">
      <c r="A8" s="976"/>
      <c r="B8" s="976"/>
      <c r="C8" s="975"/>
      <c r="D8" s="975" t="s">
        <v>129</v>
      </c>
      <c r="E8" s="975" t="s">
        <v>130</v>
      </c>
      <c r="F8" s="982"/>
      <c r="G8" s="982"/>
      <c r="H8" s="982"/>
      <c r="I8" s="982" t="s">
        <v>511</v>
      </c>
      <c r="J8" s="975" t="s">
        <v>7</v>
      </c>
      <c r="K8" s="975"/>
      <c r="L8" s="975"/>
      <c r="M8" s="975"/>
      <c r="N8" s="975"/>
      <c r="O8" s="975"/>
      <c r="P8" s="975"/>
      <c r="Q8" s="982"/>
      <c r="R8" s="975"/>
      <c r="S8" s="975"/>
      <c r="T8" s="978"/>
      <c r="U8" s="978"/>
      <c r="V8" s="526"/>
    </row>
    <row r="9" spans="1:29" ht="84" customHeight="1">
      <c r="A9" s="976"/>
      <c r="B9" s="976"/>
      <c r="C9" s="975"/>
      <c r="D9" s="975"/>
      <c r="E9" s="975"/>
      <c r="F9" s="982"/>
      <c r="G9" s="982"/>
      <c r="H9" s="982"/>
      <c r="I9" s="982"/>
      <c r="J9" s="460" t="s">
        <v>131</v>
      </c>
      <c r="K9" s="460" t="s">
        <v>132</v>
      </c>
      <c r="L9" s="461" t="s">
        <v>105</v>
      </c>
      <c r="M9" s="461" t="s">
        <v>133</v>
      </c>
      <c r="N9" s="461" t="s">
        <v>108</v>
      </c>
      <c r="O9" s="461" t="s">
        <v>251</v>
      </c>
      <c r="P9" s="461" t="s">
        <v>111</v>
      </c>
      <c r="Q9" s="982"/>
      <c r="R9" s="975"/>
      <c r="S9" s="975"/>
      <c r="T9" s="978"/>
      <c r="U9" s="978"/>
      <c r="V9" s="572" t="s">
        <v>570</v>
      </c>
      <c r="Z9" s="492" t="s">
        <v>572</v>
      </c>
      <c r="AA9" s="492" t="s">
        <v>540</v>
      </c>
      <c r="AB9" s="493" t="s">
        <v>541</v>
      </c>
      <c r="AC9" s="23" t="s">
        <v>545</v>
      </c>
    </row>
    <row r="10" spans="1:29" ht="15" customHeight="1">
      <c r="A10" s="977" t="s">
        <v>6</v>
      </c>
      <c r="B10" s="977"/>
      <c r="C10" s="463">
        <v>1</v>
      </c>
      <c r="D10" s="463">
        <v>2</v>
      </c>
      <c r="E10" s="463">
        <v>3</v>
      </c>
      <c r="F10" s="463">
        <v>4</v>
      </c>
      <c r="G10" s="463">
        <v>5</v>
      </c>
      <c r="H10" s="463">
        <v>6</v>
      </c>
      <c r="I10" s="463">
        <v>7</v>
      </c>
      <c r="J10" s="463">
        <v>8</v>
      </c>
      <c r="K10" s="463">
        <v>9</v>
      </c>
      <c r="L10" s="463">
        <v>10</v>
      </c>
      <c r="M10" s="463">
        <v>11</v>
      </c>
      <c r="N10" s="463">
        <v>12</v>
      </c>
      <c r="O10" s="463">
        <v>13</v>
      </c>
      <c r="P10" s="463">
        <v>14</v>
      </c>
      <c r="Q10" s="463">
        <v>15</v>
      </c>
      <c r="R10" s="463">
        <v>16</v>
      </c>
      <c r="S10" s="463">
        <v>17</v>
      </c>
      <c r="T10" s="463">
        <v>18</v>
      </c>
      <c r="U10" s="463">
        <v>19</v>
      </c>
      <c r="V10" s="463">
        <v>20</v>
      </c>
      <c r="W10" s="463">
        <v>21</v>
      </c>
      <c r="X10" s="463">
        <v>22</v>
      </c>
      <c r="Y10" s="463">
        <v>23</v>
      </c>
      <c r="Z10" s="463">
        <v>24</v>
      </c>
      <c r="AA10" s="463">
        <v>25</v>
      </c>
      <c r="AB10" s="463">
        <v>26</v>
      </c>
      <c r="AC10" s="463">
        <v>27</v>
      </c>
    </row>
    <row r="11" spans="1:29" ht="21.75" customHeight="1">
      <c r="A11" s="1011" t="s">
        <v>30</v>
      </c>
      <c r="B11" s="1012"/>
      <c r="C11" s="1013">
        <f aca="true" t="shared" si="0" ref="C11:R11">+C12+C22</f>
        <v>9760</v>
      </c>
      <c r="D11" s="1013">
        <f t="shared" si="0"/>
        <v>8708</v>
      </c>
      <c r="E11" s="1013">
        <f t="shared" si="0"/>
        <v>1052</v>
      </c>
      <c r="F11" s="1013">
        <f t="shared" si="0"/>
        <v>8</v>
      </c>
      <c r="G11" s="1013">
        <f t="shared" si="0"/>
        <v>2</v>
      </c>
      <c r="H11" s="1013">
        <f t="shared" si="0"/>
        <v>9752</v>
      </c>
      <c r="I11" s="1013">
        <f t="shared" si="0"/>
        <v>5338</v>
      </c>
      <c r="J11" s="1013">
        <f t="shared" si="0"/>
        <v>428</v>
      </c>
      <c r="K11" s="1013">
        <f t="shared" si="0"/>
        <v>23</v>
      </c>
      <c r="L11" s="1013">
        <f t="shared" si="0"/>
        <v>4772</v>
      </c>
      <c r="M11" s="1013">
        <f t="shared" si="0"/>
        <v>33</v>
      </c>
      <c r="N11" s="1013">
        <f t="shared" si="0"/>
        <v>2</v>
      </c>
      <c r="O11" s="1013">
        <f t="shared" si="0"/>
        <v>0</v>
      </c>
      <c r="P11" s="1013">
        <f t="shared" si="0"/>
        <v>80</v>
      </c>
      <c r="Q11" s="1013">
        <f t="shared" si="0"/>
        <v>4414</v>
      </c>
      <c r="R11" s="1013">
        <f t="shared" si="0"/>
        <v>9301</v>
      </c>
      <c r="S11" s="1014">
        <f aca="true" t="shared" si="1" ref="S11:S44">(((J11+K11))/I11)*100</f>
        <v>8.448857249906332</v>
      </c>
      <c r="T11" s="1015">
        <f>+I11/H11</f>
        <v>0.5473748974569319</v>
      </c>
      <c r="U11" s="1016">
        <f>+R11-Q11</f>
        <v>4887</v>
      </c>
      <c r="V11" s="464">
        <f>+V12+V22</f>
        <v>29</v>
      </c>
      <c r="W11" s="490">
        <f aca="true" t="shared" si="2" ref="W11:W47">+C11-(F11+G11+H11)</f>
        <v>-2</v>
      </c>
      <c r="X11" s="491">
        <f>+L11+M11+N11+O11+P11+Q11</f>
        <v>9301</v>
      </c>
      <c r="Y11" s="491" t="str">
        <f>+IF(X11=R11,"Đ","S")</f>
        <v>Đ</v>
      </c>
      <c r="Z11" s="494">
        <f>+L11+M11+N11+O11+P11</f>
        <v>4887</v>
      </c>
      <c r="AA11" s="494" t="e">
        <f>+AA12+AA22</f>
        <v>#REF!</v>
      </c>
      <c r="AB11" s="541" t="e">
        <f>(((Z11)-AA11)/AA11)*100</f>
        <v>#REF!</v>
      </c>
      <c r="AC11" s="499" t="e">
        <f>+Z11-AA11</f>
        <v>#REF!</v>
      </c>
    </row>
    <row r="12" spans="1:29" ht="21.75" customHeight="1">
      <c r="A12" s="1017" t="s">
        <v>0</v>
      </c>
      <c r="B12" s="513" t="s">
        <v>136</v>
      </c>
      <c r="C12" s="514">
        <f>+C13+C14+C15+C16+C17+C18+C19+C21+C20</f>
        <v>333</v>
      </c>
      <c r="D12" s="514">
        <f>+D13+D14+D15+D16+D17+D18+D19+D21+D20</f>
        <v>313</v>
      </c>
      <c r="E12" s="514">
        <f aca="true" t="shared" si="3" ref="E12:R12">+E13+E14+E15+E16+E17+E18+E19+E21+E20</f>
        <v>20</v>
      </c>
      <c r="F12" s="514">
        <f t="shared" si="3"/>
        <v>0</v>
      </c>
      <c r="G12" s="514">
        <f t="shared" si="3"/>
        <v>1</v>
      </c>
      <c r="H12" s="514">
        <f t="shared" si="3"/>
        <v>333</v>
      </c>
      <c r="I12" s="514">
        <f t="shared" si="3"/>
        <v>143</v>
      </c>
      <c r="J12" s="514">
        <f t="shared" si="3"/>
        <v>4</v>
      </c>
      <c r="K12" s="514">
        <f t="shared" si="3"/>
        <v>0</v>
      </c>
      <c r="L12" s="514">
        <f t="shared" si="3"/>
        <v>130</v>
      </c>
      <c r="M12" s="514">
        <f t="shared" si="3"/>
        <v>3</v>
      </c>
      <c r="N12" s="514">
        <f t="shared" si="3"/>
        <v>1</v>
      </c>
      <c r="O12" s="514">
        <f t="shared" si="3"/>
        <v>0</v>
      </c>
      <c r="P12" s="514">
        <f t="shared" si="3"/>
        <v>5</v>
      </c>
      <c r="Q12" s="514">
        <f t="shared" si="3"/>
        <v>190</v>
      </c>
      <c r="R12" s="514">
        <f t="shared" si="3"/>
        <v>329</v>
      </c>
      <c r="S12" s="1014">
        <f t="shared" si="1"/>
        <v>2.797202797202797</v>
      </c>
      <c r="T12" s="517">
        <f aca="true" t="shared" si="4" ref="T12:T79">+I12/H12</f>
        <v>0.4294294294294294</v>
      </c>
      <c r="U12" s="518">
        <f aca="true" t="shared" si="5" ref="U12:U79">+R12-Q12</f>
        <v>139</v>
      </c>
      <c r="V12" s="481">
        <f>+V13+V14+V15+V16+V17+V18+V19+V21</f>
        <v>29</v>
      </c>
      <c r="W12" s="490">
        <f t="shared" si="2"/>
        <v>-1</v>
      </c>
      <c r="X12" s="491">
        <f aca="true" t="shared" si="6" ref="X12:X79">+L12+M12+N12+O12+P12+Q12</f>
        <v>329</v>
      </c>
      <c r="Y12" s="491" t="str">
        <f aca="true" t="shared" si="7" ref="Y12:Y79">+IF(X12=R12,"Đ","S")</f>
        <v>Đ</v>
      </c>
      <c r="Z12" s="495">
        <f aca="true" t="shared" si="8" ref="Z12:Z79">+L12+M12+N12+O12+P12</f>
        <v>139</v>
      </c>
      <c r="AA12" s="495">
        <f>+AA13+AA14+AA15+AA16+AA17+AA18+AA19+AA21</f>
        <v>98</v>
      </c>
      <c r="AB12" s="542">
        <f aca="true" t="shared" si="9" ref="AB12:AB79">(((Z12)-AA12)/AA12)*100</f>
        <v>41.83673469387755</v>
      </c>
      <c r="AC12" s="499">
        <f aca="true" t="shared" si="10" ref="AC12:AC79">+Z12-AA12</f>
        <v>41</v>
      </c>
    </row>
    <row r="13" spans="1:29" ht="21.75" customHeight="1">
      <c r="A13" s="1018" t="s">
        <v>43</v>
      </c>
      <c r="B13" s="1019" t="s">
        <v>435</v>
      </c>
      <c r="C13" s="514">
        <f aca="true" t="shared" si="11" ref="C13:C21">+D13+E13</f>
        <v>0</v>
      </c>
      <c r="D13" s="519"/>
      <c r="E13" s="519"/>
      <c r="F13" s="519"/>
      <c r="G13" s="519"/>
      <c r="H13" s="514">
        <f aca="true" t="shared" si="12" ref="H13:H21">SUM(I13,Q13)</f>
        <v>0</v>
      </c>
      <c r="I13" s="514">
        <f aca="true" t="shared" si="13" ref="I13:I21">SUM(J13:P13)</f>
        <v>0</v>
      </c>
      <c r="J13" s="519"/>
      <c r="K13" s="519"/>
      <c r="L13" s="519"/>
      <c r="M13" s="519"/>
      <c r="N13" s="519"/>
      <c r="O13" s="519"/>
      <c r="P13" s="519"/>
      <c r="Q13" s="519"/>
      <c r="R13" s="515">
        <f>+Q13+P13+O13+N13+M13+L13</f>
        <v>0</v>
      </c>
      <c r="S13" s="1020" t="e">
        <f t="shared" si="1"/>
        <v>#DIV/0!</v>
      </c>
      <c r="T13" s="517" t="e">
        <f t="shared" si="4"/>
        <v>#DIV/0!</v>
      </c>
      <c r="U13" s="518">
        <f t="shared" si="5"/>
        <v>0</v>
      </c>
      <c r="V13" s="481"/>
      <c r="W13" s="490">
        <f t="shared" si="2"/>
        <v>0</v>
      </c>
      <c r="X13" s="491">
        <f t="shared" si="6"/>
        <v>0</v>
      </c>
      <c r="Y13" s="491" t="str">
        <f t="shared" si="7"/>
        <v>Đ</v>
      </c>
      <c r="Z13" s="494">
        <f t="shared" si="8"/>
        <v>0</v>
      </c>
      <c r="AA13" s="494"/>
      <c r="AB13" s="542" t="e">
        <f t="shared" si="9"/>
        <v>#DIV/0!</v>
      </c>
      <c r="AC13" s="499">
        <f t="shared" si="10"/>
        <v>0</v>
      </c>
    </row>
    <row r="14" spans="1:29" ht="21.75" customHeight="1">
      <c r="A14" s="1018" t="s">
        <v>44</v>
      </c>
      <c r="B14" s="1019" t="s">
        <v>509</v>
      </c>
      <c r="C14" s="514">
        <f t="shared" si="11"/>
        <v>0</v>
      </c>
      <c r="D14" s="519"/>
      <c r="E14" s="519"/>
      <c r="F14" s="519"/>
      <c r="G14" s="519"/>
      <c r="H14" s="514">
        <f t="shared" si="12"/>
        <v>0</v>
      </c>
      <c r="I14" s="514">
        <f t="shared" si="13"/>
        <v>0</v>
      </c>
      <c r="J14" s="519"/>
      <c r="K14" s="519"/>
      <c r="L14" s="519"/>
      <c r="M14" s="519"/>
      <c r="N14" s="519"/>
      <c r="O14" s="519"/>
      <c r="P14" s="519"/>
      <c r="Q14" s="519"/>
      <c r="R14" s="515">
        <f aca="true" t="shared" si="14" ref="R14:R21">+Q14+P14+O14+N14+M14+L14</f>
        <v>0</v>
      </c>
      <c r="S14" s="1020" t="e">
        <f t="shared" si="1"/>
        <v>#DIV/0!</v>
      </c>
      <c r="T14" s="517" t="e">
        <f t="shared" si="4"/>
        <v>#DIV/0!</v>
      </c>
      <c r="U14" s="518">
        <f t="shared" si="5"/>
        <v>0</v>
      </c>
      <c r="V14" s="481"/>
      <c r="W14" s="490">
        <f t="shared" si="2"/>
        <v>0</v>
      </c>
      <c r="X14" s="491">
        <f t="shared" si="6"/>
        <v>0</v>
      </c>
      <c r="Y14" s="491" t="str">
        <f t="shared" si="7"/>
        <v>Đ</v>
      </c>
      <c r="Z14" s="494">
        <f t="shared" si="8"/>
        <v>0</v>
      </c>
      <c r="AA14" s="494"/>
      <c r="AB14" s="542" t="e">
        <f t="shared" si="9"/>
        <v>#DIV/0!</v>
      </c>
      <c r="AC14" s="499">
        <f t="shared" si="10"/>
        <v>0</v>
      </c>
    </row>
    <row r="15" spans="1:29" ht="21.75" customHeight="1">
      <c r="A15" s="1018" t="s">
        <v>49</v>
      </c>
      <c r="B15" s="1019" t="s">
        <v>508</v>
      </c>
      <c r="C15" s="514">
        <f t="shared" si="11"/>
        <v>65</v>
      </c>
      <c r="D15" s="514">
        <v>60</v>
      </c>
      <c r="E15" s="519">
        <v>5</v>
      </c>
      <c r="F15" s="519"/>
      <c r="G15" s="519"/>
      <c r="H15" s="514">
        <f t="shared" si="12"/>
        <v>65</v>
      </c>
      <c r="I15" s="514">
        <f t="shared" si="13"/>
        <v>36</v>
      </c>
      <c r="J15" s="519">
        <v>0</v>
      </c>
      <c r="K15" s="519"/>
      <c r="L15" s="519">
        <v>31</v>
      </c>
      <c r="M15" s="519">
        <v>2</v>
      </c>
      <c r="N15" s="519">
        <v>1</v>
      </c>
      <c r="O15" s="519"/>
      <c r="P15" s="519">
        <v>2</v>
      </c>
      <c r="Q15" s="519">
        <v>29</v>
      </c>
      <c r="R15" s="515">
        <f t="shared" si="14"/>
        <v>65</v>
      </c>
      <c r="S15" s="1020">
        <f t="shared" si="1"/>
        <v>0</v>
      </c>
      <c r="T15" s="517">
        <f t="shared" si="4"/>
        <v>0.5538461538461539</v>
      </c>
      <c r="U15" s="518">
        <f t="shared" si="5"/>
        <v>36</v>
      </c>
      <c r="V15" s="481"/>
      <c r="W15" s="490">
        <f t="shared" si="2"/>
        <v>0</v>
      </c>
      <c r="X15" s="491">
        <f t="shared" si="6"/>
        <v>65</v>
      </c>
      <c r="Y15" s="491" t="str">
        <f t="shared" si="7"/>
        <v>Đ</v>
      </c>
      <c r="Z15" s="494">
        <f t="shared" si="8"/>
        <v>36</v>
      </c>
      <c r="AA15" s="494">
        <v>10</v>
      </c>
      <c r="AB15" s="542">
        <f t="shared" si="9"/>
        <v>260</v>
      </c>
      <c r="AC15" s="499">
        <f t="shared" si="10"/>
        <v>26</v>
      </c>
    </row>
    <row r="16" spans="1:29" ht="21.75" customHeight="1">
      <c r="A16" s="1018" t="s">
        <v>58</v>
      </c>
      <c r="B16" s="1019" t="s">
        <v>507</v>
      </c>
      <c r="C16" s="514">
        <f t="shared" si="11"/>
        <v>32</v>
      </c>
      <c r="D16" s="514">
        <v>30</v>
      </c>
      <c r="E16" s="519">
        <v>2</v>
      </c>
      <c r="F16" s="519"/>
      <c r="G16" s="519"/>
      <c r="H16" s="514">
        <f t="shared" si="12"/>
        <v>32</v>
      </c>
      <c r="I16" s="514">
        <f t="shared" si="13"/>
        <v>21</v>
      </c>
      <c r="J16" s="519"/>
      <c r="K16" s="519"/>
      <c r="L16" s="519">
        <f>8+13</f>
        <v>21</v>
      </c>
      <c r="M16" s="519"/>
      <c r="N16" s="519"/>
      <c r="O16" s="519"/>
      <c r="P16" s="519"/>
      <c r="Q16" s="519">
        <v>11</v>
      </c>
      <c r="R16" s="515">
        <f t="shared" si="14"/>
        <v>32</v>
      </c>
      <c r="S16" s="1020">
        <f t="shared" si="1"/>
        <v>0</v>
      </c>
      <c r="T16" s="517">
        <f t="shared" si="4"/>
        <v>0.65625</v>
      </c>
      <c r="U16" s="518">
        <f t="shared" si="5"/>
        <v>21</v>
      </c>
      <c r="V16" s="481">
        <v>1</v>
      </c>
      <c r="W16" s="490">
        <f t="shared" si="2"/>
        <v>0</v>
      </c>
      <c r="X16" s="491">
        <f t="shared" si="6"/>
        <v>32</v>
      </c>
      <c r="Y16" s="491" t="str">
        <f t="shared" si="7"/>
        <v>Đ</v>
      </c>
      <c r="Z16" s="494">
        <f t="shared" si="8"/>
        <v>21</v>
      </c>
      <c r="AA16" s="494">
        <v>32</v>
      </c>
      <c r="AB16" s="542">
        <f t="shared" si="9"/>
        <v>-34.375</v>
      </c>
      <c r="AC16" s="499">
        <f t="shared" si="10"/>
        <v>-11</v>
      </c>
    </row>
    <row r="17" spans="1:29" ht="21.75" customHeight="1">
      <c r="A17" s="1018" t="s">
        <v>59</v>
      </c>
      <c r="B17" s="1021" t="s">
        <v>506</v>
      </c>
      <c r="C17" s="514">
        <f t="shared" si="11"/>
        <v>41</v>
      </c>
      <c r="D17" s="519">
        <v>41</v>
      </c>
      <c r="E17" s="519"/>
      <c r="F17" s="519"/>
      <c r="G17" s="519"/>
      <c r="H17" s="514">
        <f t="shared" si="12"/>
        <v>41</v>
      </c>
      <c r="I17" s="514">
        <f t="shared" si="13"/>
        <v>7</v>
      </c>
      <c r="J17" s="519">
        <v>1</v>
      </c>
      <c r="K17" s="519"/>
      <c r="L17" s="519">
        <v>4</v>
      </c>
      <c r="M17" s="519"/>
      <c r="N17" s="519"/>
      <c r="O17" s="519"/>
      <c r="P17" s="519">
        <v>2</v>
      </c>
      <c r="Q17" s="519">
        <v>34</v>
      </c>
      <c r="R17" s="515">
        <f t="shared" si="14"/>
        <v>40</v>
      </c>
      <c r="S17" s="1020">
        <f t="shared" si="1"/>
        <v>14.285714285714285</v>
      </c>
      <c r="T17" s="517">
        <f t="shared" si="4"/>
        <v>0.17073170731707318</v>
      </c>
      <c r="U17" s="518">
        <f t="shared" si="5"/>
        <v>6</v>
      </c>
      <c r="V17" s="481">
        <v>10</v>
      </c>
      <c r="W17" s="490">
        <f t="shared" si="2"/>
        <v>0</v>
      </c>
      <c r="X17" s="491">
        <f t="shared" si="6"/>
        <v>40</v>
      </c>
      <c r="Y17" s="491" t="str">
        <f t="shared" si="7"/>
        <v>Đ</v>
      </c>
      <c r="Z17" s="494">
        <f t="shared" si="8"/>
        <v>6</v>
      </c>
      <c r="AA17" s="494">
        <v>11</v>
      </c>
      <c r="AB17" s="542">
        <f t="shared" si="9"/>
        <v>-45.45454545454545</v>
      </c>
      <c r="AC17" s="499">
        <f t="shared" si="10"/>
        <v>-5</v>
      </c>
    </row>
    <row r="18" spans="1:29" ht="21.75" customHeight="1">
      <c r="A18" s="1018" t="s">
        <v>60</v>
      </c>
      <c r="B18" s="1019" t="s">
        <v>505</v>
      </c>
      <c r="C18" s="514">
        <f t="shared" si="11"/>
        <v>94</v>
      </c>
      <c r="D18" s="519">
        <f>27+61</f>
        <v>88</v>
      </c>
      <c r="E18" s="519">
        <v>6</v>
      </c>
      <c r="F18" s="519"/>
      <c r="G18" s="519"/>
      <c r="H18" s="514">
        <f t="shared" si="12"/>
        <v>94</v>
      </c>
      <c r="I18" s="514">
        <f t="shared" si="13"/>
        <v>44</v>
      </c>
      <c r="J18" s="519">
        <v>1</v>
      </c>
      <c r="K18" s="519"/>
      <c r="L18" s="519">
        <f>21+21</f>
        <v>42</v>
      </c>
      <c r="M18" s="519">
        <v>1</v>
      </c>
      <c r="N18" s="519"/>
      <c r="O18" s="519"/>
      <c r="P18" s="519"/>
      <c r="Q18" s="519">
        <f>10+40</f>
        <v>50</v>
      </c>
      <c r="R18" s="515">
        <f t="shared" si="14"/>
        <v>93</v>
      </c>
      <c r="S18" s="1020">
        <f t="shared" si="1"/>
        <v>2.272727272727273</v>
      </c>
      <c r="T18" s="517">
        <f t="shared" si="4"/>
        <v>0.46808510638297873</v>
      </c>
      <c r="U18" s="518">
        <f t="shared" si="5"/>
        <v>43</v>
      </c>
      <c r="V18" s="481">
        <v>3</v>
      </c>
      <c r="W18" s="490">
        <f t="shared" si="2"/>
        <v>0</v>
      </c>
      <c r="X18" s="491">
        <f t="shared" si="6"/>
        <v>93</v>
      </c>
      <c r="Y18" s="491" t="str">
        <f t="shared" si="7"/>
        <v>Đ</v>
      </c>
      <c r="Z18" s="494">
        <f t="shared" si="8"/>
        <v>43</v>
      </c>
      <c r="AA18" s="494">
        <v>9</v>
      </c>
      <c r="AB18" s="542">
        <f t="shared" si="9"/>
        <v>377.77777777777777</v>
      </c>
      <c r="AC18" s="499">
        <f t="shared" si="10"/>
        <v>34</v>
      </c>
    </row>
    <row r="19" spans="1:30" ht="21.75" customHeight="1">
      <c r="A19" s="1018" t="s">
        <v>61</v>
      </c>
      <c r="B19" s="1019" t="s">
        <v>569</v>
      </c>
      <c r="C19" s="514">
        <f t="shared" si="11"/>
        <v>52</v>
      </c>
      <c r="D19" s="519">
        <v>47</v>
      </c>
      <c r="E19" s="519">
        <v>5</v>
      </c>
      <c r="F19" s="519"/>
      <c r="G19" s="519">
        <v>1</v>
      </c>
      <c r="H19" s="514">
        <f t="shared" si="12"/>
        <v>52</v>
      </c>
      <c r="I19" s="514">
        <f t="shared" si="13"/>
        <v>16</v>
      </c>
      <c r="J19" s="519">
        <v>2</v>
      </c>
      <c r="K19" s="519"/>
      <c r="L19" s="519">
        <v>13</v>
      </c>
      <c r="M19" s="519"/>
      <c r="N19" s="519"/>
      <c r="O19" s="519"/>
      <c r="P19" s="519">
        <v>1</v>
      </c>
      <c r="Q19" s="519">
        <v>36</v>
      </c>
      <c r="R19" s="515">
        <f t="shared" si="14"/>
        <v>50</v>
      </c>
      <c r="S19" s="1020">
        <f t="shared" si="1"/>
        <v>12.5</v>
      </c>
      <c r="T19" s="517">
        <f t="shared" si="4"/>
        <v>0.3076923076923077</v>
      </c>
      <c r="U19" s="518">
        <f t="shared" si="5"/>
        <v>14</v>
      </c>
      <c r="V19" s="481">
        <v>15</v>
      </c>
      <c r="W19" s="490">
        <f t="shared" si="2"/>
        <v>-1</v>
      </c>
      <c r="X19" s="491">
        <f t="shared" si="6"/>
        <v>50</v>
      </c>
      <c r="Y19" s="491" t="str">
        <f t="shared" si="7"/>
        <v>Đ</v>
      </c>
      <c r="Z19" s="494">
        <f t="shared" si="8"/>
        <v>14</v>
      </c>
      <c r="AA19" s="494">
        <v>24</v>
      </c>
      <c r="AB19" s="542">
        <f t="shared" si="9"/>
        <v>-41.66666666666667</v>
      </c>
      <c r="AC19" s="499">
        <f t="shared" si="10"/>
        <v>-10</v>
      </c>
      <c r="AD19" s="23" t="s">
        <v>574</v>
      </c>
    </row>
    <row r="20" spans="1:29" ht="21.75" customHeight="1">
      <c r="A20" s="1018" t="s">
        <v>62</v>
      </c>
      <c r="B20" s="1019" t="s">
        <v>567</v>
      </c>
      <c r="C20" s="514">
        <f t="shared" si="11"/>
        <v>49</v>
      </c>
      <c r="D20" s="519">
        <v>47</v>
      </c>
      <c r="E20" s="519">
        <v>2</v>
      </c>
      <c r="F20" s="519"/>
      <c r="G20" s="519"/>
      <c r="H20" s="514">
        <f t="shared" si="12"/>
        <v>49</v>
      </c>
      <c r="I20" s="514">
        <f t="shared" si="13"/>
        <v>19</v>
      </c>
      <c r="J20" s="519"/>
      <c r="K20" s="519"/>
      <c r="L20" s="519">
        <v>19</v>
      </c>
      <c r="M20" s="519"/>
      <c r="N20" s="519"/>
      <c r="O20" s="519"/>
      <c r="P20" s="519"/>
      <c r="Q20" s="519">
        <v>30</v>
      </c>
      <c r="R20" s="515">
        <f>+Q20+P20+O20+N20+M20+L20</f>
        <v>49</v>
      </c>
      <c r="S20" s="1020">
        <f>(((J20+K20))/I20)*100</f>
        <v>0</v>
      </c>
      <c r="T20" s="517">
        <f>+I20/H20</f>
        <v>0.3877551020408163</v>
      </c>
      <c r="U20" s="518">
        <f>+R20-Q20</f>
        <v>19</v>
      </c>
      <c r="V20" s="481"/>
      <c r="W20" s="490">
        <f t="shared" si="2"/>
        <v>0</v>
      </c>
      <c r="X20" s="491">
        <f t="shared" si="6"/>
        <v>49</v>
      </c>
      <c r="Y20" s="491" t="str">
        <f t="shared" si="7"/>
        <v>Đ</v>
      </c>
      <c r="Z20" s="494"/>
      <c r="AA20" s="494"/>
      <c r="AB20" s="542"/>
      <c r="AC20" s="499"/>
    </row>
    <row r="21" spans="1:30" ht="21.75" customHeight="1">
      <c r="A21" s="1018" t="s">
        <v>63</v>
      </c>
      <c r="B21" s="1019" t="s">
        <v>575</v>
      </c>
      <c r="C21" s="514">
        <f t="shared" si="11"/>
        <v>0</v>
      </c>
      <c r="D21" s="519"/>
      <c r="E21" s="519"/>
      <c r="F21" s="519"/>
      <c r="G21" s="519"/>
      <c r="H21" s="514">
        <f t="shared" si="12"/>
        <v>0</v>
      </c>
      <c r="I21" s="514">
        <f t="shared" si="13"/>
        <v>0</v>
      </c>
      <c r="J21" s="519"/>
      <c r="K21" s="519"/>
      <c r="L21" s="519"/>
      <c r="M21" s="519"/>
      <c r="N21" s="519"/>
      <c r="O21" s="519"/>
      <c r="P21" s="519"/>
      <c r="Q21" s="519"/>
      <c r="R21" s="515">
        <f t="shared" si="14"/>
        <v>0</v>
      </c>
      <c r="S21" s="1020" t="e">
        <f t="shared" si="1"/>
        <v>#DIV/0!</v>
      </c>
      <c r="T21" s="517" t="e">
        <f t="shared" si="4"/>
        <v>#DIV/0!</v>
      </c>
      <c r="U21" s="518">
        <f t="shared" si="5"/>
        <v>0</v>
      </c>
      <c r="V21" s="481"/>
      <c r="W21" s="490">
        <f t="shared" si="2"/>
        <v>0</v>
      </c>
      <c r="X21" s="491">
        <f t="shared" si="6"/>
        <v>0</v>
      </c>
      <c r="Y21" s="491" t="str">
        <f t="shared" si="7"/>
        <v>Đ</v>
      </c>
      <c r="Z21" s="494">
        <f t="shared" si="8"/>
        <v>0</v>
      </c>
      <c r="AA21" s="494">
        <v>12</v>
      </c>
      <c r="AB21" s="542">
        <f t="shared" si="9"/>
        <v>-100</v>
      </c>
      <c r="AC21" s="499">
        <f t="shared" si="10"/>
        <v>-12</v>
      </c>
      <c r="AD21" s="23" t="s">
        <v>573</v>
      </c>
    </row>
    <row r="22" spans="1:29" ht="21.75" customHeight="1">
      <c r="A22" s="1017" t="s">
        <v>1</v>
      </c>
      <c r="B22" s="513" t="s">
        <v>17</v>
      </c>
      <c r="C22" s="514">
        <f aca="true" t="shared" si="15" ref="C22:C31">+D22+E22</f>
        <v>9427</v>
      </c>
      <c r="D22" s="514">
        <f>SUM(D23,D32,D38,D44,D48,D54,D61,D68,D74)</f>
        <v>8395</v>
      </c>
      <c r="E22" s="514">
        <f>SUM(E23,E32,E38,E44,E48,E54,E61,E68,E74)</f>
        <v>1032</v>
      </c>
      <c r="F22" s="514">
        <f>SUM(F23,F32,F38,F44,F48,F54,F61,F68,F74)</f>
        <v>8</v>
      </c>
      <c r="G22" s="514">
        <f>SUM(G23,G32,G38,G44,G48,G54,G61,G68,G74)</f>
        <v>1</v>
      </c>
      <c r="H22" s="514">
        <f aca="true" t="shared" si="16" ref="H22:H31">SUM(I22,Q22)</f>
        <v>9419</v>
      </c>
      <c r="I22" s="514">
        <f aca="true" t="shared" si="17" ref="I22:I31">SUM(J22:P22)</f>
        <v>5195</v>
      </c>
      <c r="J22" s="514">
        <f aca="true" t="shared" si="18" ref="J22:R22">SUM(J23,J32,J38,J44,J48,J54,J61,J68,J74)</f>
        <v>424</v>
      </c>
      <c r="K22" s="514">
        <f t="shared" si="18"/>
        <v>23</v>
      </c>
      <c r="L22" s="514">
        <f t="shared" si="18"/>
        <v>4642</v>
      </c>
      <c r="M22" s="514">
        <f t="shared" si="18"/>
        <v>30</v>
      </c>
      <c r="N22" s="514">
        <f t="shared" si="18"/>
        <v>1</v>
      </c>
      <c r="O22" s="514">
        <f t="shared" si="18"/>
        <v>0</v>
      </c>
      <c r="P22" s="514">
        <f t="shared" si="18"/>
        <v>75</v>
      </c>
      <c r="Q22" s="514">
        <f t="shared" si="18"/>
        <v>4224</v>
      </c>
      <c r="R22" s="514">
        <f t="shared" si="18"/>
        <v>8972</v>
      </c>
      <c r="S22" s="516">
        <f t="shared" si="1"/>
        <v>8.604427333974977</v>
      </c>
      <c r="T22" s="517">
        <f t="shared" si="4"/>
        <v>0.5515447499734579</v>
      </c>
      <c r="U22" s="518">
        <f t="shared" si="5"/>
        <v>4748</v>
      </c>
      <c r="V22" s="464">
        <f>SUM(V23,V32,V38,V44,V48,V54,V61,V68,V74)</f>
        <v>0</v>
      </c>
      <c r="W22" s="490">
        <f t="shared" si="2"/>
        <v>-1</v>
      </c>
      <c r="X22" s="491">
        <f t="shared" si="6"/>
        <v>8972</v>
      </c>
      <c r="Y22" s="491" t="str">
        <f t="shared" si="7"/>
        <v>Đ</v>
      </c>
      <c r="Z22" s="495">
        <f t="shared" si="8"/>
        <v>4748</v>
      </c>
      <c r="AA22" s="514" t="e">
        <f>+AA23+AA32+AA38+AA44+AA48+AA54+AA61+AA68+AA74</f>
        <v>#REF!</v>
      </c>
      <c r="AB22" s="542" t="e">
        <f>(((Z22)-AA22)/AA22)*100</f>
        <v>#REF!</v>
      </c>
      <c r="AC22" s="499" t="e">
        <f t="shared" si="10"/>
        <v>#REF!</v>
      </c>
    </row>
    <row r="23" spans="1:29" ht="21.75" customHeight="1">
      <c r="A23" s="1017" t="s">
        <v>43</v>
      </c>
      <c r="B23" s="513" t="s">
        <v>502</v>
      </c>
      <c r="C23" s="514">
        <f t="shared" si="15"/>
        <v>1084</v>
      </c>
      <c r="D23" s="514">
        <f>SUM(D24:D31)</f>
        <v>959</v>
      </c>
      <c r="E23" s="514">
        <f>SUM(E24:E31)</f>
        <v>125</v>
      </c>
      <c r="F23" s="514">
        <f>SUM(F24:F31)</f>
        <v>0</v>
      </c>
      <c r="G23" s="514">
        <f>SUM(G24:G31)</f>
        <v>1</v>
      </c>
      <c r="H23" s="514">
        <f t="shared" si="16"/>
        <v>1084</v>
      </c>
      <c r="I23" s="514">
        <f t="shared" si="17"/>
        <v>504</v>
      </c>
      <c r="J23" s="514">
        <f aca="true" t="shared" si="19" ref="J23:Q23">SUM(J24:J31)</f>
        <v>63</v>
      </c>
      <c r="K23" s="514">
        <f t="shared" si="19"/>
        <v>1</v>
      </c>
      <c r="L23" s="514">
        <f t="shared" si="19"/>
        <v>410</v>
      </c>
      <c r="M23" s="514">
        <f t="shared" si="19"/>
        <v>20</v>
      </c>
      <c r="N23" s="514">
        <f t="shared" si="19"/>
        <v>0</v>
      </c>
      <c r="O23" s="514">
        <f t="shared" si="19"/>
        <v>0</v>
      </c>
      <c r="P23" s="514">
        <f t="shared" si="19"/>
        <v>10</v>
      </c>
      <c r="Q23" s="514">
        <f t="shared" si="19"/>
        <v>580</v>
      </c>
      <c r="R23" s="515">
        <f aca="true" t="shared" si="20" ref="R23:R31">SUM(L23:Q23)</f>
        <v>1020</v>
      </c>
      <c r="S23" s="516">
        <f t="shared" si="1"/>
        <v>12.698412698412698</v>
      </c>
      <c r="T23" s="517">
        <f t="shared" si="4"/>
        <v>0.46494464944649444</v>
      </c>
      <c r="U23" s="518">
        <f t="shared" si="5"/>
        <v>440</v>
      </c>
      <c r="V23" s="467">
        <f>+V24+V25+V26+V27+V29+V30+V31</f>
        <v>0</v>
      </c>
      <c r="W23" s="490">
        <f t="shared" si="2"/>
        <v>-1</v>
      </c>
      <c r="X23" s="491">
        <f t="shared" si="6"/>
        <v>1020</v>
      </c>
      <c r="Y23" s="491" t="str">
        <f t="shared" si="7"/>
        <v>Đ</v>
      </c>
      <c r="Z23" s="495">
        <f t="shared" si="8"/>
        <v>440</v>
      </c>
      <c r="AA23" s="515">
        <f>+AA24+AA25+AA26+AA27+AA28+AA30+AA31</f>
        <v>490</v>
      </c>
      <c r="AB23" s="542">
        <f t="shared" si="9"/>
        <v>-10.204081632653061</v>
      </c>
      <c r="AC23" s="499">
        <f t="shared" si="10"/>
        <v>-50</v>
      </c>
    </row>
    <row r="24" spans="1:29" ht="21.75" customHeight="1">
      <c r="A24" s="1018" t="s">
        <v>45</v>
      </c>
      <c r="B24" s="1022" t="s">
        <v>501</v>
      </c>
      <c r="C24" s="514">
        <f t="shared" si="15"/>
        <v>59</v>
      </c>
      <c r="D24" s="1023">
        <v>48</v>
      </c>
      <c r="E24" s="1023">
        <v>11</v>
      </c>
      <c r="F24" s="1023">
        <v>0</v>
      </c>
      <c r="G24" s="1023">
        <v>0</v>
      </c>
      <c r="H24" s="514">
        <f t="shared" si="16"/>
        <v>59</v>
      </c>
      <c r="I24" s="514">
        <f t="shared" si="17"/>
        <v>27</v>
      </c>
      <c r="J24" s="1023">
        <v>2</v>
      </c>
      <c r="K24" s="1023">
        <v>0</v>
      </c>
      <c r="L24" s="1023">
        <v>24</v>
      </c>
      <c r="M24" s="1023">
        <v>0</v>
      </c>
      <c r="N24" s="1023">
        <v>0</v>
      </c>
      <c r="O24" s="1023">
        <v>0</v>
      </c>
      <c r="P24" s="1023">
        <v>1</v>
      </c>
      <c r="Q24" s="1023">
        <v>32</v>
      </c>
      <c r="R24" s="515">
        <f t="shared" si="20"/>
        <v>57</v>
      </c>
      <c r="S24" s="520">
        <f t="shared" si="1"/>
        <v>7.4074074074074066</v>
      </c>
      <c r="T24" s="517">
        <f t="shared" si="4"/>
        <v>0.4576271186440678</v>
      </c>
      <c r="U24" s="518">
        <f t="shared" si="5"/>
        <v>25</v>
      </c>
      <c r="V24" s="466"/>
      <c r="W24" s="490">
        <f t="shared" si="2"/>
        <v>0</v>
      </c>
      <c r="X24" s="491">
        <f t="shared" si="6"/>
        <v>57</v>
      </c>
      <c r="Y24" s="491" t="str">
        <f t="shared" si="7"/>
        <v>Đ</v>
      </c>
      <c r="Z24" s="494">
        <f t="shared" si="8"/>
        <v>25</v>
      </c>
      <c r="AA24" s="494">
        <v>21</v>
      </c>
      <c r="AB24" s="542">
        <f t="shared" si="9"/>
        <v>19.047619047619047</v>
      </c>
      <c r="AC24" s="499">
        <f t="shared" si="10"/>
        <v>4</v>
      </c>
    </row>
    <row r="25" spans="1:29" ht="21.75" customHeight="1">
      <c r="A25" s="1018" t="s">
        <v>46</v>
      </c>
      <c r="B25" s="1022" t="s">
        <v>560</v>
      </c>
      <c r="C25" s="514">
        <f t="shared" si="15"/>
        <v>118</v>
      </c>
      <c r="D25" s="1023">
        <v>105</v>
      </c>
      <c r="E25" s="1023">
        <v>13</v>
      </c>
      <c r="F25" s="1023">
        <v>0</v>
      </c>
      <c r="G25" s="1023">
        <v>1</v>
      </c>
      <c r="H25" s="514">
        <f t="shared" si="16"/>
        <v>118</v>
      </c>
      <c r="I25" s="514">
        <f t="shared" si="17"/>
        <v>50</v>
      </c>
      <c r="J25" s="1023">
        <v>6</v>
      </c>
      <c r="K25" s="1023">
        <v>0</v>
      </c>
      <c r="L25" s="1023">
        <v>44</v>
      </c>
      <c r="M25" s="1023">
        <v>0</v>
      </c>
      <c r="N25" s="1023">
        <v>0</v>
      </c>
      <c r="O25" s="1023">
        <v>0</v>
      </c>
      <c r="P25" s="1023">
        <v>0</v>
      </c>
      <c r="Q25" s="1023">
        <v>68</v>
      </c>
      <c r="R25" s="515">
        <f t="shared" si="20"/>
        <v>112</v>
      </c>
      <c r="S25" s="520">
        <f t="shared" si="1"/>
        <v>12</v>
      </c>
      <c r="T25" s="517">
        <f t="shared" si="4"/>
        <v>0.423728813559322</v>
      </c>
      <c r="U25" s="518">
        <f t="shared" si="5"/>
        <v>44</v>
      </c>
      <c r="V25" s="466"/>
      <c r="W25" s="490">
        <f t="shared" si="2"/>
        <v>-1</v>
      </c>
      <c r="X25" s="491">
        <f t="shared" si="6"/>
        <v>112</v>
      </c>
      <c r="Y25" s="491" t="str">
        <f t="shared" si="7"/>
        <v>Đ</v>
      </c>
      <c r="Z25" s="494">
        <f t="shared" si="8"/>
        <v>44</v>
      </c>
      <c r="AA25" s="494">
        <v>91</v>
      </c>
      <c r="AB25" s="542">
        <f t="shared" si="9"/>
        <v>-51.64835164835166</v>
      </c>
      <c r="AC25" s="499">
        <f t="shared" si="10"/>
        <v>-47</v>
      </c>
    </row>
    <row r="26" spans="1:29" ht="21.75" customHeight="1">
      <c r="A26" s="1018" t="s">
        <v>104</v>
      </c>
      <c r="B26" s="1022" t="s">
        <v>559</v>
      </c>
      <c r="C26" s="514">
        <f t="shared" si="15"/>
        <v>100</v>
      </c>
      <c r="D26" s="1023">
        <v>92</v>
      </c>
      <c r="E26" s="1023">
        <v>8</v>
      </c>
      <c r="F26" s="1023">
        <v>0</v>
      </c>
      <c r="G26" s="1023">
        <v>0</v>
      </c>
      <c r="H26" s="514">
        <f t="shared" si="16"/>
        <v>100</v>
      </c>
      <c r="I26" s="514">
        <f t="shared" si="17"/>
        <v>41</v>
      </c>
      <c r="J26" s="1023">
        <v>5</v>
      </c>
      <c r="K26" s="1023">
        <v>0</v>
      </c>
      <c r="L26" s="1023">
        <v>27</v>
      </c>
      <c r="M26" s="1023">
        <v>9</v>
      </c>
      <c r="N26" s="1023">
        <v>0</v>
      </c>
      <c r="O26" s="1023">
        <v>0</v>
      </c>
      <c r="P26" s="1023">
        <v>0</v>
      </c>
      <c r="Q26" s="1023">
        <v>59</v>
      </c>
      <c r="R26" s="515">
        <f t="shared" si="20"/>
        <v>95</v>
      </c>
      <c r="S26" s="520">
        <f t="shared" si="1"/>
        <v>12.195121951219512</v>
      </c>
      <c r="T26" s="517">
        <f t="shared" si="4"/>
        <v>0.41</v>
      </c>
      <c r="U26" s="518">
        <f t="shared" si="5"/>
        <v>36</v>
      </c>
      <c r="V26" s="466"/>
      <c r="W26" s="490">
        <f t="shared" si="2"/>
        <v>0</v>
      </c>
      <c r="X26" s="491">
        <f t="shared" si="6"/>
        <v>95</v>
      </c>
      <c r="Y26" s="491" t="str">
        <f t="shared" si="7"/>
        <v>Đ</v>
      </c>
      <c r="Z26" s="494">
        <f t="shared" si="8"/>
        <v>36</v>
      </c>
      <c r="AA26" s="494">
        <v>66</v>
      </c>
      <c r="AB26" s="542">
        <f t="shared" si="9"/>
        <v>-45.45454545454545</v>
      </c>
      <c r="AC26" s="499">
        <f t="shared" si="10"/>
        <v>-30</v>
      </c>
    </row>
    <row r="27" spans="1:29" ht="21.75" customHeight="1">
      <c r="A27" s="1018" t="s">
        <v>106</v>
      </c>
      <c r="B27" s="1022" t="s">
        <v>498</v>
      </c>
      <c r="C27" s="514">
        <f t="shared" si="15"/>
        <v>210</v>
      </c>
      <c r="D27" s="1023">
        <v>188</v>
      </c>
      <c r="E27" s="1023">
        <v>22</v>
      </c>
      <c r="F27" s="1023">
        <v>0</v>
      </c>
      <c r="G27" s="1023">
        <v>0</v>
      </c>
      <c r="H27" s="514">
        <f t="shared" si="16"/>
        <v>210</v>
      </c>
      <c r="I27" s="514">
        <f t="shared" si="17"/>
        <v>98</v>
      </c>
      <c r="J27" s="1023">
        <v>11</v>
      </c>
      <c r="K27" s="1023">
        <v>0</v>
      </c>
      <c r="L27" s="1023">
        <v>87</v>
      </c>
      <c r="M27" s="1023">
        <v>0</v>
      </c>
      <c r="N27" s="1023">
        <v>0</v>
      </c>
      <c r="O27" s="1023">
        <v>0</v>
      </c>
      <c r="P27" s="1023">
        <v>0</v>
      </c>
      <c r="Q27" s="1023">
        <v>112</v>
      </c>
      <c r="R27" s="515">
        <f t="shared" si="20"/>
        <v>199</v>
      </c>
      <c r="S27" s="520">
        <f t="shared" si="1"/>
        <v>11.224489795918368</v>
      </c>
      <c r="T27" s="517">
        <f t="shared" si="4"/>
        <v>0.4666666666666667</v>
      </c>
      <c r="U27" s="518">
        <f t="shared" si="5"/>
        <v>87</v>
      </c>
      <c r="V27" s="466"/>
      <c r="W27" s="490">
        <f t="shared" si="2"/>
        <v>0</v>
      </c>
      <c r="X27" s="491">
        <f t="shared" si="6"/>
        <v>199</v>
      </c>
      <c r="Y27" s="491" t="str">
        <f t="shared" si="7"/>
        <v>Đ</v>
      </c>
      <c r="Z27" s="494">
        <f t="shared" si="8"/>
        <v>87</v>
      </c>
      <c r="AA27" s="494">
        <v>98</v>
      </c>
      <c r="AB27" s="542">
        <f t="shared" si="9"/>
        <v>-11.224489795918368</v>
      </c>
      <c r="AC27" s="499">
        <f t="shared" si="10"/>
        <v>-11</v>
      </c>
    </row>
    <row r="28" spans="1:29" ht="21.75" customHeight="1">
      <c r="A28" s="1018" t="s">
        <v>107</v>
      </c>
      <c r="B28" s="1022" t="s">
        <v>548</v>
      </c>
      <c r="C28" s="514">
        <f t="shared" si="15"/>
        <v>115</v>
      </c>
      <c r="D28" s="1023">
        <v>102</v>
      </c>
      <c r="E28" s="1023">
        <v>13</v>
      </c>
      <c r="F28" s="1023">
        <v>0</v>
      </c>
      <c r="G28" s="1023">
        <v>0</v>
      </c>
      <c r="H28" s="514">
        <f>SUM(I28,Q28)</f>
        <v>115</v>
      </c>
      <c r="I28" s="514">
        <f t="shared" si="17"/>
        <v>51</v>
      </c>
      <c r="J28" s="1023">
        <v>3</v>
      </c>
      <c r="K28" s="1023">
        <v>0</v>
      </c>
      <c r="L28" s="1023">
        <v>48</v>
      </c>
      <c r="M28" s="1023">
        <v>0</v>
      </c>
      <c r="N28" s="1023">
        <v>0</v>
      </c>
      <c r="O28" s="1023">
        <v>0</v>
      </c>
      <c r="P28" s="1023">
        <v>0</v>
      </c>
      <c r="Q28" s="1023">
        <v>64</v>
      </c>
      <c r="R28" s="515">
        <f t="shared" si="20"/>
        <v>112</v>
      </c>
      <c r="S28" s="520">
        <f t="shared" si="1"/>
        <v>5.88235294117647</v>
      </c>
      <c r="T28" s="517">
        <f>+I28/H28</f>
        <v>0.4434782608695652</v>
      </c>
      <c r="U28" s="518">
        <f t="shared" si="5"/>
        <v>48</v>
      </c>
      <c r="V28" s="466"/>
      <c r="W28" s="490">
        <f>+C28-(F28+G28+H28)</f>
        <v>0</v>
      </c>
      <c r="X28" s="491">
        <f t="shared" si="6"/>
        <v>112</v>
      </c>
      <c r="Y28" s="491" t="str">
        <f t="shared" si="7"/>
        <v>Đ</v>
      </c>
      <c r="Z28" s="494">
        <f t="shared" si="8"/>
        <v>48</v>
      </c>
      <c r="AA28" s="494">
        <v>67</v>
      </c>
      <c r="AB28" s="542">
        <f t="shared" si="9"/>
        <v>-28.35820895522388</v>
      </c>
      <c r="AC28" s="499">
        <f t="shared" si="10"/>
        <v>-19</v>
      </c>
    </row>
    <row r="29" spans="1:29" ht="21.75" customHeight="1">
      <c r="A29" s="1018" t="s">
        <v>109</v>
      </c>
      <c r="B29" s="1022" t="s">
        <v>499</v>
      </c>
      <c r="C29" s="514">
        <f t="shared" si="15"/>
        <v>177</v>
      </c>
      <c r="D29" s="1023">
        <v>159</v>
      </c>
      <c r="E29" s="1023">
        <v>18</v>
      </c>
      <c r="F29" s="1023">
        <v>0</v>
      </c>
      <c r="G29" s="1023">
        <v>0</v>
      </c>
      <c r="H29" s="514">
        <f>SUM(I29,Q29)</f>
        <v>177</v>
      </c>
      <c r="I29" s="514">
        <f t="shared" si="17"/>
        <v>75</v>
      </c>
      <c r="J29" s="1023">
        <v>8</v>
      </c>
      <c r="K29" s="1023">
        <v>1</v>
      </c>
      <c r="L29" s="1023">
        <v>57</v>
      </c>
      <c r="M29" s="1023">
        <v>1</v>
      </c>
      <c r="N29" s="1023">
        <v>0</v>
      </c>
      <c r="O29" s="1023">
        <v>0</v>
      </c>
      <c r="P29" s="1023">
        <v>8</v>
      </c>
      <c r="Q29" s="1023">
        <v>102</v>
      </c>
      <c r="R29" s="515">
        <f t="shared" si="20"/>
        <v>168</v>
      </c>
      <c r="S29" s="520">
        <f t="shared" si="1"/>
        <v>12</v>
      </c>
      <c r="T29" s="517">
        <f>+I29/H29</f>
        <v>0.423728813559322</v>
      </c>
      <c r="U29" s="518">
        <f t="shared" si="5"/>
        <v>66</v>
      </c>
      <c r="V29" s="466"/>
      <c r="W29" s="490">
        <f>+C29-(F29+G29+H29)</f>
        <v>0</v>
      </c>
      <c r="X29" s="491">
        <f t="shared" si="6"/>
        <v>168</v>
      </c>
      <c r="Y29" s="491" t="str">
        <f t="shared" si="7"/>
        <v>Đ</v>
      </c>
      <c r="Z29" s="494"/>
      <c r="AA29" s="494"/>
      <c r="AB29" s="542"/>
      <c r="AC29" s="499"/>
    </row>
    <row r="30" spans="1:29" ht="21.75" customHeight="1">
      <c r="A30" s="1018" t="s">
        <v>110</v>
      </c>
      <c r="B30" s="1022" t="s">
        <v>538</v>
      </c>
      <c r="C30" s="514">
        <f t="shared" si="15"/>
        <v>172</v>
      </c>
      <c r="D30" s="1023">
        <v>155</v>
      </c>
      <c r="E30" s="1023">
        <v>17</v>
      </c>
      <c r="F30" s="1023">
        <v>0</v>
      </c>
      <c r="G30" s="1023">
        <v>0</v>
      </c>
      <c r="H30" s="514">
        <f t="shared" si="16"/>
        <v>172</v>
      </c>
      <c r="I30" s="514">
        <f t="shared" si="17"/>
        <v>90</v>
      </c>
      <c r="J30" s="1023">
        <v>8</v>
      </c>
      <c r="K30" s="1023">
        <v>0</v>
      </c>
      <c r="L30" s="1023">
        <v>72</v>
      </c>
      <c r="M30" s="1023">
        <v>10</v>
      </c>
      <c r="N30" s="1023">
        <v>0</v>
      </c>
      <c r="O30" s="1023">
        <v>0</v>
      </c>
      <c r="P30" s="1023">
        <v>0</v>
      </c>
      <c r="Q30" s="1023">
        <v>82</v>
      </c>
      <c r="R30" s="515">
        <f t="shared" si="20"/>
        <v>164</v>
      </c>
      <c r="S30" s="520">
        <f t="shared" si="1"/>
        <v>8.88888888888889</v>
      </c>
      <c r="T30" s="517">
        <f t="shared" si="4"/>
        <v>0.5232558139534884</v>
      </c>
      <c r="U30" s="518">
        <f t="shared" si="5"/>
        <v>82</v>
      </c>
      <c r="V30" s="466"/>
      <c r="W30" s="490">
        <f t="shared" si="2"/>
        <v>0</v>
      </c>
      <c r="X30" s="491">
        <f t="shared" si="6"/>
        <v>164</v>
      </c>
      <c r="Y30" s="491" t="str">
        <f t="shared" si="7"/>
        <v>Đ</v>
      </c>
      <c r="Z30" s="494">
        <f t="shared" si="8"/>
        <v>82</v>
      </c>
      <c r="AA30" s="494">
        <v>105</v>
      </c>
      <c r="AB30" s="542">
        <f t="shared" si="9"/>
        <v>-21.904761904761905</v>
      </c>
      <c r="AC30" s="499">
        <f t="shared" si="10"/>
        <v>-23</v>
      </c>
    </row>
    <row r="31" spans="1:29" ht="21.75" customHeight="1">
      <c r="A31" s="1018" t="s">
        <v>123</v>
      </c>
      <c r="B31" s="1022" t="s">
        <v>576</v>
      </c>
      <c r="C31" s="514">
        <f t="shared" si="15"/>
        <v>133</v>
      </c>
      <c r="D31" s="1023">
        <v>110</v>
      </c>
      <c r="E31" s="1023">
        <v>23</v>
      </c>
      <c r="F31" s="1023">
        <v>0</v>
      </c>
      <c r="G31" s="1023">
        <v>0</v>
      </c>
      <c r="H31" s="514">
        <f t="shared" si="16"/>
        <v>133</v>
      </c>
      <c r="I31" s="514">
        <f t="shared" si="17"/>
        <v>72</v>
      </c>
      <c r="J31" s="1023">
        <v>20</v>
      </c>
      <c r="K31" s="1023">
        <v>0</v>
      </c>
      <c r="L31" s="1023">
        <v>51</v>
      </c>
      <c r="M31" s="1023">
        <v>0</v>
      </c>
      <c r="N31" s="1023">
        <v>0</v>
      </c>
      <c r="O31" s="1023">
        <v>0</v>
      </c>
      <c r="P31" s="1023">
        <v>1</v>
      </c>
      <c r="Q31" s="1023">
        <v>61</v>
      </c>
      <c r="R31" s="515">
        <f t="shared" si="20"/>
        <v>113</v>
      </c>
      <c r="S31" s="520">
        <f t="shared" si="1"/>
        <v>27.77777777777778</v>
      </c>
      <c r="T31" s="517">
        <f t="shared" si="4"/>
        <v>0.5413533834586466</v>
      </c>
      <c r="U31" s="518">
        <f t="shared" si="5"/>
        <v>52</v>
      </c>
      <c r="V31" s="466"/>
      <c r="W31" s="490">
        <f t="shared" si="2"/>
        <v>0</v>
      </c>
      <c r="X31" s="491">
        <f t="shared" si="6"/>
        <v>113</v>
      </c>
      <c r="Y31" s="491" t="str">
        <f t="shared" si="7"/>
        <v>Đ</v>
      </c>
      <c r="Z31" s="494">
        <f t="shared" si="8"/>
        <v>52</v>
      </c>
      <c r="AA31" s="494">
        <v>42</v>
      </c>
      <c r="AB31" s="542">
        <f t="shared" si="9"/>
        <v>23.809523809523807</v>
      </c>
      <c r="AC31" s="499">
        <f t="shared" si="10"/>
        <v>10</v>
      </c>
    </row>
    <row r="32" spans="1:29" ht="21.75" customHeight="1">
      <c r="A32" s="1017" t="s">
        <v>44</v>
      </c>
      <c r="B32" s="513" t="s">
        <v>497</v>
      </c>
      <c r="C32" s="514">
        <f>C33+C34+C35+C36+C37</f>
        <v>1523</v>
      </c>
      <c r="D32" s="514">
        <f aca="true" t="shared" si="21" ref="D32:R32">D33+D34+D35+D36+D37</f>
        <v>1324</v>
      </c>
      <c r="E32" s="514">
        <f t="shared" si="21"/>
        <v>199</v>
      </c>
      <c r="F32" s="514">
        <f t="shared" si="21"/>
        <v>7</v>
      </c>
      <c r="G32" s="514">
        <f t="shared" si="21"/>
        <v>0</v>
      </c>
      <c r="H32" s="514">
        <f t="shared" si="21"/>
        <v>1516</v>
      </c>
      <c r="I32" s="514">
        <f t="shared" si="21"/>
        <v>874</v>
      </c>
      <c r="J32" s="514">
        <f t="shared" si="21"/>
        <v>80</v>
      </c>
      <c r="K32" s="514">
        <f t="shared" si="21"/>
        <v>2</v>
      </c>
      <c r="L32" s="514">
        <f t="shared" si="21"/>
        <v>792</v>
      </c>
      <c r="M32" s="514">
        <f t="shared" si="21"/>
        <v>0</v>
      </c>
      <c r="N32" s="514">
        <f t="shared" si="21"/>
        <v>0</v>
      </c>
      <c r="O32" s="514">
        <f t="shared" si="21"/>
        <v>0</v>
      </c>
      <c r="P32" s="514">
        <f t="shared" si="21"/>
        <v>0</v>
      </c>
      <c r="Q32" s="514">
        <f t="shared" si="21"/>
        <v>642</v>
      </c>
      <c r="R32" s="514">
        <f t="shared" si="21"/>
        <v>1434</v>
      </c>
      <c r="S32" s="520">
        <f t="shared" si="1"/>
        <v>9.382151029748284</v>
      </c>
      <c r="T32" s="517">
        <f t="shared" si="4"/>
        <v>0.5765171503957783</v>
      </c>
      <c r="U32" s="518">
        <f t="shared" si="5"/>
        <v>792</v>
      </c>
      <c r="V32" s="464">
        <f>V33+V34+V35+V36+V37</f>
        <v>0</v>
      </c>
      <c r="W32" s="490">
        <f t="shared" si="2"/>
        <v>0</v>
      </c>
      <c r="X32" s="491">
        <f t="shared" si="6"/>
        <v>1434</v>
      </c>
      <c r="Y32" s="491" t="str">
        <f t="shared" si="7"/>
        <v>Đ</v>
      </c>
      <c r="Z32" s="495">
        <f t="shared" si="8"/>
        <v>792</v>
      </c>
      <c r="AA32" s="495">
        <v>269</v>
      </c>
      <c r="AB32" s="542">
        <f t="shared" si="9"/>
        <v>194.42379182156134</v>
      </c>
      <c r="AC32" s="499">
        <f t="shared" si="10"/>
        <v>523</v>
      </c>
    </row>
    <row r="33" spans="1:29" ht="21.75" customHeight="1">
      <c r="A33" s="1018" t="s">
        <v>47</v>
      </c>
      <c r="B33" s="1024" t="s">
        <v>542</v>
      </c>
      <c r="C33" s="514">
        <f>+D33+E33</f>
        <v>136</v>
      </c>
      <c r="D33" s="536">
        <v>112</v>
      </c>
      <c r="E33" s="536">
        <v>24</v>
      </c>
      <c r="F33" s="536">
        <v>6</v>
      </c>
      <c r="G33" s="536"/>
      <c r="H33" s="519">
        <f>I33+Q33</f>
        <v>130</v>
      </c>
      <c r="I33" s="514">
        <f>J33+K33+L33+M33+N33+O33+P33</f>
        <v>73</v>
      </c>
      <c r="J33" s="536">
        <v>14</v>
      </c>
      <c r="K33" s="536"/>
      <c r="L33" s="536">
        <v>59</v>
      </c>
      <c r="M33" s="536">
        <v>0</v>
      </c>
      <c r="N33" s="536">
        <v>0</v>
      </c>
      <c r="O33" s="536">
        <v>0</v>
      </c>
      <c r="P33" s="536">
        <v>0</v>
      </c>
      <c r="Q33" s="536">
        <v>57</v>
      </c>
      <c r="R33" s="1025">
        <f>+Q33+P33+O33+N33+M33+L33</f>
        <v>116</v>
      </c>
      <c r="S33" s="520">
        <f t="shared" si="1"/>
        <v>19.17808219178082</v>
      </c>
      <c r="T33" s="517">
        <f t="shared" si="4"/>
        <v>0.5615384615384615</v>
      </c>
      <c r="U33" s="518">
        <f t="shared" si="5"/>
        <v>59</v>
      </c>
      <c r="V33" s="466"/>
      <c r="W33" s="490">
        <f t="shared" si="2"/>
        <v>0</v>
      </c>
      <c r="X33" s="491">
        <f t="shared" si="6"/>
        <v>116</v>
      </c>
      <c r="Y33" s="491" t="str">
        <f t="shared" si="7"/>
        <v>Đ</v>
      </c>
      <c r="Z33" s="494">
        <f t="shared" si="8"/>
        <v>59</v>
      </c>
      <c r="AA33" s="494">
        <v>8</v>
      </c>
      <c r="AB33" s="542">
        <f t="shared" si="9"/>
        <v>637.5</v>
      </c>
      <c r="AC33" s="499">
        <f t="shared" si="10"/>
        <v>51</v>
      </c>
    </row>
    <row r="34" spans="1:29" ht="21.75" customHeight="1">
      <c r="A34" s="1018" t="s">
        <v>48</v>
      </c>
      <c r="B34" s="1026" t="s">
        <v>496</v>
      </c>
      <c r="C34" s="514">
        <f>+D34+E34</f>
        <v>401</v>
      </c>
      <c r="D34" s="536">
        <v>353</v>
      </c>
      <c r="E34" s="536">
        <v>48</v>
      </c>
      <c r="F34" s="536"/>
      <c r="G34" s="536"/>
      <c r="H34" s="514">
        <f>I34+Q34</f>
        <v>401</v>
      </c>
      <c r="I34" s="514">
        <f>J34+K34+L34+M34+N34+O34+P34</f>
        <v>224</v>
      </c>
      <c r="J34" s="536">
        <v>22</v>
      </c>
      <c r="K34" s="536"/>
      <c r="L34" s="536">
        <v>202</v>
      </c>
      <c r="M34" s="536"/>
      <c r="N34" s="536"/>
      <c r="O34" s="536"/>
      <c r="P34" s="536"/>
      <c r="Q34" s="536">
        <v>177</v>
      </c>
      <c r="R34" s="515">
        <f>+Q34+P34+O34+N34+M34+L34</f>
        <v>379</v>
      </c>
      <c r="S34" s="520">
        <f t="shared" si="1"/>
        <v>9.821428571428571</v>
      </c>
      <c r="T34" s="517">
        <f t="shared" si="4"/>
        <v>0.5586034912718204</v>
      </c>
      <c r="U34" s="518">
        <f t="shared" si="5"/>
        <v>202</v>
      </c>
      <c r="V34" s="466"/>
      <c r="W34" s="490">
        <f t="shared" si="2"/>
        <v>0</v>
      </c>
      <c r="X34" s="491">
        <f t="shared" si="6"/>
        <v>379</v>
      </c>
      <c r="Y34" s="491" t="str">
        <f t="shared" si="7"/>
        <v>Đ</v>
      </c>
      <c r="Z34" s="494">
        <f t="shared" si="8"/>
        <v>202</v>
      </c>
      <c r="AA34" s="494">
        <v>64</v>
      </c>
      <c r="AB34" s="542">
        <f t="shared" si="9"/>
        <v>215.625</v>
      </c>
      <c r="AC34" s="499">
        <f t="shared" si="10"/>
        <v>138</v>
      </c>
    </row>
    <row r="35" spans="1:29" ht="21.75" customHeight="1">
      <c r="A35" s="1018" t="s">
        <v>495</v>
      </c>
      <c r="B35" s="1026" t="s">
        <v>500</v>
      </c>
      <c r="C35" s="514">
        <f>+D35+E35</f>
        <v>378</v>
      </c>
      <c r="D35" s="536">
        <v>335</v>
      </c>
      <c r="E35" s="536">
        <v>43</v>
      </c>
      <c r="F35" s="536">
        <v>1</v>
      </c>
      <c r="G35" s="536"/>
      <c r="H35" s="514">
        <f>I35+Q35</f>
        <v>377</v>
      </c>
      <c r="I35" s="514">
        <f>J35+K35+L35+M35+N35+O35+P35</f>
        <v>233</v>
      </c>
      <c r="J35" s="536">
        <v>13</v>
      </c>
      <c r="K35" s="536">
        <v>2</v>
      </c>
      <c r="L35" s="536">
        <v>218</v>
      </c>
      <c r="M35" s="536"/>
      <c r="N35" s="536"/>
      <c r="O35" s="536"/>
      <c r="P35" s="536">
        <v>0</v>
      </c>
      <c r="Q35" s="1027">
        <v>144</v>
      </c>
      <c r="R35" s="515">
        <f>+Q35+P35+O35+N35+M35+L35</f>
        <v>362</v>
      </c>
      <c r="S35" s="520">
        <f t="shared" si="1"/>
        <v>6.437768240343347</v>
      </c>
      <c r="T35" s="517">
        <f t="shared" si="4"/>
        <v>0.6180371352785146</v>
      </c>
      <c r="U35" s="518">
        <f t="shared" si="5"/>
        <v>218</v>
      </c>
      <c r="V35" s="466"/>
      <c r="W35" s="490">
        <f t="shared" si="2"/>
        <v>0</v>
      </c>
      <c r="X35" s="491">
        <f t="shared" si="6"/>
        <v>362</v>
      </c>
      <c r="Y35" s="491" t="str">
        <f t="shared" si="7"/>
        <v>Đ</v>
      </c>
      <c r="Z35" s="494">
        <f t="shared" si="8"/>
        <v>218</v>
      </c>
      <c r="AA35" s="494"/>
      <c r="AB35" s="542" t="e">
        <f t="shared" si="9"/>
        <v>#DIV/0!</v>
      </c>
      <c r="AC35" s="499">
        <f t="shared" si="10"/>
        <v>218</v>
      </c>
    </row>
    <row r="36" spans="1:29" ht="21.75" customHeight="1">
      <c r="A36" s="1018" t="s">
        <v>493</v>
      </c>
      <c r="B36" s="1026" t="s">
        <v>492</v>
      </c>
      <c r="C36" s="514">
        <f>+D36+E36</f>
        <v>331</v>
      </c>
      <c r="D36" s="536">
        <v>286</v>
      </c>
      <c r="E36" s="536">
        <v>45</v>
      </c>
      <c r="F36" s="536"/>
      <c r="G36" s="536"/>
      <c r="H36" s="514">
        <f>I36+Q36</f>
        <v>331</v>
      </c>
      <c r="I36" s="514">
        <f>J36+K36+L36+M36+N36+O36+P36</f>
        <v>160</v>
      </c>
      <c r="J36" s="536">
        <v>15</v>
      </c>
      <c r="K36" s="536"/>
      <c r="L36" s="536">
        <v>145</v>
      </c>
      <c r="M36" s="536"/>
      <c r="N36" s="536"/>
      <c r="O36" s="536"/>
      <c r="P36" s="536">
        <v>0</v>
      </c>
      <c r="Q36" s="1027">
        <v>171</v>
      </c>
      <c r="R36" s="515">
        <f>+Q36+P36+O36+N36+M36+L36</f>
        <v>316</v>
      </c>
      <c r="S36" s="520">
        <f t="shared" si="1"/>
        <v>9.375</v>
      </c>
      <c r="T36" s="517">
        <f t="shared" si="4"/>
        <v>0.48338368580060426</v>
      </c>
      <c r="U36" s="518">
        <f t="shared" si="5"/>
        <v>145</v>
      </c>
      <c r="V36" s="466"/>
      <c r="W36" s="490">
        <f t="shared" si="2"/>
        <v>0</v>
      </c>
      <c r="X36" s="491">
        <f t="shared" si="6"/>
        <v>316</v>
      </c>
      <c r="Y36" s="491" t="str">
        <f t="shared" si="7"/>
        <v>Đ</v>
      </c>
      <c r="Z36" s="494">
        <f t="shared" si="8"/>
        <v>145</v>
      </c>
      <c r="AA36" s="494">
        <v>48</v>
      </c>
      <c r="AB36" s="542">
        <f t="shared" si="9"/>
        <v>202.08333333333334</v>
      </c>
      <c r="AC36" s="499">
        <f t="shared" si="10"/>
        <v>97</v>
      </c>
    </row>
    <row r="37" spans="1:29" ht="21.75" customHeight="1">
      <c r="A37" s="1018" t="s">
        <v>549</v>
      </c>
      <c r="B37" s="1026" t="s">
        <v>550</v>
      </c>
      <c r="C37" s="514">
        <f>+D37+E37</f>
        <v>277</v>
      </c>
      <c r="D37" s="536">
        <v>238</v>
      </c>
      <c r="E37" s="536">
        <v>39</v>
      </c>
      <c r="F37" s="536"/>
      <c r="G37" s="536"/>
      <c r="H37" s="514">
        <f>I37+Q37</f>
        <v>277</v>
      </c>
      <c r="I37" s="514">
        <f>J37+K37+L37+M37+N37+O37+P37</f>
        <v>184</v>
      </c>
      <c r="J37" s="536">
        <v>16</v>
      </c>
      <c r="K37" s="536"/>
      <c r="L37" s="536">
        <v>168</v>
      </c>
      <c r="M37" s="536"/>
      <c r="N37" s="536"/>
      <c r="O37" s="536"/>
      <c r="P37" s="536">
        <v>0</v>
      </c>
      <c r="Q37" s="536">
        <v>93</v>
      </c>
      <c r="R37" s="515">
        <f>+Q37+P37+O37+N37+M37+L37</f>
        <v>261</v>
      </c>
      <c r="S37" s="520">
        <f t="shared" si="1"/>
        <v>8.695652173913043</v>
      </c>
      <c r="T37" s="517">
        <f t="shared" si="4"/>
        <v>0.6642599277978339</v>
      </c>
      <c r="U37" s="518">
        <f t="shared" si="5"/>
        <v>168</v>
      </c>
      <c r="V37" s="466"/>
      <c r="W37" s="490">
        <f t="shared" si="2"/>
        <v>0</v>
      </c>
      <c r="X37" s="491">
        <f t="shared" si="6"/>
        <v>261</v>
      </c>
      <c r="Y37" s="491" t="str">
        <f t="shared" si="7"/>
        <v>Đ</v>
      </c>
      <c r="Z37" s="494">
        <f t="shared" si="8"/>
        <v>168</v>
      </c>
      <c r="AA37" s="494">
        <v>84</v>
      </c>
      <c r="AB37" s="542">
        <f t="shared" si="9"/>
        <v>100</v>
      </c>
      <c r="AC37" s="499">
        <f t="shared" si="10"/>
        <v>84</v>
      </c>
    </row>
    <row r="38" spans="1:29" ht="21.75" customHeight="1">
      <c r="A38" s="1017" t="s">
        <v>49</v>
      </c>
      <c r="B38" s="513" t="s">
        <v>491</v>
      </c>
      <c r="C38" s="514">
        <f>C39+C40+C42+C43+C41</f>
        <v>718</v>
      </c>
      <c r="D38" s="514">
        <f aca="true" t="shared" si="22" ref="D38:R38">D39+D40+D42+D43+D41</f>
        <v>664</v>
      </c>
      <c r="E38" s="514">
        <f t="shared" si="22"/>
        <v>54</v>
      </c>
      <c r="F38" s="514">
        <f t="shared" si="22"/>
        <v>0</v>
      </c>
      <c r="G38" s="514">
        <f t="shared" si="22"/>
        <v>0</v>
      </c>
      <c r="H38" s="514">
        <f t="shared" si="22"/>
        <v>718</v>
      </c>
      <c r="I38" s="514">
        <f t="shared" si="22"/>
        <v>319</v>
      </c>
      <c r="J38" s="514">
        <f t="shared" si="22"/>
        <v>26</v>
      </c>
      <c r="K38" s="514">
        <f t="shared" si="22"/>
        <v>0</v>
      </c>
      <c r="L38" s="514">
        <f t="shared" si="22"/>
        <v>288</v>
      </c>
      <c r="M38" s="514">
        <f t="shared" si="22"/>
        <v>3</v>
      </c>
      <c r="N38" s="514">
        <f t="shared" si="22"/>
        <v>0</v>
      </c>
      <c r="O38" s="514">
        <f t="shared" si="22"/>
        <v>0</v>
      </c>
      <c r="P38" s="514">
        <f t="shared" si="22"/>
        <v>2</v>
      </c>
      <c r="Q38" s="514">
        <f t="shared" si="22"/>
        <v>399</v>
      </c>
      <c r="R38" s="514">
        <f t="shared" si="22"/>
        <v>692</v>
      </c>
      <c r="S38" s="520">
        <f t="shared" si="1"/>
        <v>8.150470219435736</v>
      </c>
      <c r="T38" s="517">
        <f t="shared" si="4"/>
        <v>0.44428969359331477</v>
      </c>
      <c r="U38" s="518">
        <f t="shared" si="5"/>
        <v>293</v>
      </c>
      <c r="V38" s="464">
        <f>V39+V40+V42+V43</f>
        <v>0</v>
      </c>
      <c r="W38" s="490">
        <f t="shared" si="2"/>
        <v>0</v>
      </c>
      <c r="X38" s="491">
        <f t="shared" si="6"/>
        <v>692</v>
      </c>
      <c r="Y38" s="491" t="str">
        <f t="shared" si="7"/>
        <v>Đ</v>
      </c>
      <c r="Z38" s="495">
        <f t="shared" si="8"/>
        <v>293</v>
      </c>
      <c r="AA38" s="495" t="e">
        <f>+AA39+AA40+AA42+#REF!</f>
        <v>#REF!</v>
      </c>
      <c r="AB38" s="542" t="e">
        <f t="shared" si="9"/>
        <v>#REF!</v>
      </c>
      <c r="AC38" s="499" t="e">
        <f t="shared" si="10"/>
        <v>#REF!</v>
      </c>
    </row>
    <row r="39" spans="1:29" ht="21.75" customHeight="1">
      <c r="A39" s="1018" t="s">
        <v>113</v>
      </c>
      <c r="B39" s="578" t="s">
        <v>504</v>
      </c>
      <c r="C39" s="514">
        <f aca="true" t="shared" si="23" ref="C39:C79">+D39+E39</f>
        <v>3</v>
      </c>
      <c r="D39" s="579"/>
      <c r="E39" s="579">
        <v>3</v>
      </c>
      <c r="F39" s="579"/>
      <c r="G39" s="579"/>
      <c r="H39" s="514">
        <f>I39+Q39</f>
        <v>3</v>
      </c>
      <c r="I39" s="514">
        <f>J39+K39+L39+M39+N39+O39+P39</f>
        <v>3</v>
      </c>
      <c r="J39" s="579">
        <v>1</v>
      </c>
      <c r="K39" s="579"/>
      <c r="L39" s="579"/>
      <c r="M39" s="579"/>
      <c r="N39" s="579"/>
      <c r="O39" s="579"/>
      <c r="P39" s="579">
        <v>2</v>
      </c>
      <c r="Q39" s="579"/>
      <c r="R39" s="515">
        <f>+Q39+P39+O39+N39+M39+L39</f>
        <v>2</v>
      </c>
      <c r="S39" s="520">
        <f t="shared" si="1"/>
        <v>33.33333333333333</v>
      </c>
      <c r="T39" s="517">
        <f t="shared" si="4"/>
        <v>1</v>
      </c>
      <c r="U39" s="518">
        <f t="shared" si="5"/>
        <v>2</v>
      </c>
      <c r="V39" s="466"/>
      <c r="W39" s="490">
        <f t="shared" si="2"/>
        <v>0</v>
      </c>
      <c r="X39" s="491">
        <f t="shared" si="6"/>
        <v>2</v>
      </c>
      <c r="Y39" s="491" t="str">
        <f t="shared" si="7"/>
        <v>Đ</v>
      </c>
      <c r="Z39" s="494">
        <f t="shared" si="8"/>
        <v>2</v>
      </c>
      <c r="AA39" s="494">
        <v>36</v>
      </c>
      <c r="AB39" s="542">
        <f t="shared" si="9"/>
        <v>-94.44444444444444</v>
      </c>
      <c r="AC39" s="499">
        <f t="shared" si="10"/>
        <v>-34</v>
      </c>
    </row>
    <row r="40" spans="1:29" ht="21.75" customHeight="1">
      <c r="A40" s="1018" t="s">
        <v>114</v>
      </c>
      <c r="B40" s="437" t="s">
        <v>490</v>
      </c>
      <c r="C40" s="514">
        <f t="shared" si="23"/>
        <v>120</v>
      </c>
      <c r="D40" s="523">
        <v>115</v>
      </c>
      <c r="E40" s="523">
        <v>5</v>
      </c>
      <c r="F40" s="523">
        <v>0</v>
      </c>
      <c r="G40" s="519"/>
      <c r="H40" s="514">
        <f>I40+Q40</f>
        <v>120</v>
      </c>
      <c r="I40" s="514">
        <f>J40+K40+L40+M40+N40+O40+P40</f>
        <v>67</v>
      </c>
      <c r="J40" s="523">
        <v>2</v>
      </c>
      <c r="K40" s="523"/>
      <c r="L40" s="523">
        <v>65</v>
      </c>
      <c r="M40" s="523"/>
      <c r="N40" s="523"/>
      <c r="O40" s="523"/>
      <c r="P40" s="524"/>
      <c r="Q40" s="476">
        <v>53</v>
      </c>
      <c r="R40" s="515">
        <f>+Q40+P40+O40+N40+M40+L40</f>
        <v>118</v>
      </c>
      <c r="S40" s="520">
        <f t="shared" si="1"/>
        <v>2.9850746268656714</v>
      </c>
      <c r="T40" s="517">
        <f t="shared" si="4"/>
        <v>0.5583333333333333</v>
      </c>
      <c r="U40" s="518">
        <f t="shared" si="5"/>
        <v>65</v>
      </c>
      <c r="V40" s="466"/>
      <c r="W40" s="490">
        <f t="shared" si="2"/>
        <v>0</v>
      </c>
      <c r="X40" s="491">
        <f t="shared" si="6"/>
        <v>118</v>
      </c>
      <c r="Y40" s="491" t="str">
        <f t="shared" si="7"/>
        <v>Đ</v>
      </c>
      <c r="Z40" s="494">
        <f t="shared" si="8"/>
        <v>65</v>
      </c>
      <c r="AA40" s="494">
        <v>98</v>
      </c>
      <c r="AB40" s="542">
        <f t="shared" si="9"/>
        <v>-33.6734693877551</v>
      </c>
      <c r="AC40" s="499">
        <f t="shared" si="10"/>
        <v>-33</v>
      </c>
    </row>
    <row r="41" spans="1:29" ht="21.75" customHeight="1">
      <c r="A41" s="1018" t="s">
        <v>115</v>
      </c>
      <c r="B41" s="437" t="s">
        <v>489</v>
      </c>
      <c r="C41" s="514">
        <f t="shared" si="23"/>
        <v>188</v>
      </c>
      <c r="D41" s="523">
        <v>169</v>
      </c>
      <c r="E41" s="523">
        <v>19</v>
      </c>
      <c r="F41" s="523">
        <v>0</v>
      </c>
      <c r="G41" s="519"/>
      <c r="H41" s="514">
        <f>I41+Q41</f>
        <v>188</v>
      </c>
      <c r="I41" s="514">
        <f>J41+K41+L41+M41+N41+O41+P41</f>
        <v>88</v>
      </c>
      <c r="J41" s="523">
        <v>6</v>
      </c>
      <c r="K41" s="523"/>
      <c r="L41" s="523">
        <v>82</v>
      </c>
      <c r="M41" s="523"/>
      <c r="N41" s="523"/>
      <c r="O41" s="523"/>
      <c r="P41" s="524"/>
      <c r="Q41" s="476">
        <v>100</v>
      </c>
      <c r="R41" s="515">
        <f>+Q41+P41+O41+N41+M41+L41</f>
        <v>182</v>
      </c>
      <c r="S41" s="520">
        <f t="shared" si="1"/>
        <v>6.8181818181818175</v>
      </c>
      <c r="T41" s="517">
        <f t="shared" si="4"/>
        <v>0.46808510638297873</v>
      </c>
      <c r="U41" s="518">
        <f t="shared" si="5"/>
        <v>82</v>
      </c>
      <c r="V41" s="466"/>
      <c r="W41" s="490">
        <f t="shared" si="2"/>
        <v>0</v>
      </c>
      <c r="X41" s="491">
        <f t="shared" si="6"/>
        <v>182</v>
      </c>
      <c r="Y41" s="491" t="str">
        <f t="shared" si="7"/>
        <v>Đ</v>
      </c>
      <c r="Z41" s="494"/>
      <c r="AA41" s="494"/>
      <c r="AB41" s="542"/>
      <c r="AC41" s="499"/>
    </row>
    <row r="42" spans="1:29" ht="21.75" customHeight="1">
      <c r="A42" s="1018" t="s">
        <v>488</v>
      </c>
      <c r="B42" s="437" t="s">
        <v>561</v>
      </c>
      <c r="C42" s="514">
        <f t="shared" si="23"/>
        <v>172</v>
      </c>
      <c r="D42" s="523">
        <v>156</v>
      </c>
      <c r="E42" s="523">
        <v>16</v>
      </c>
      <c r="F42" s="523"/>
      <c r="G42" s="519"/>
      <c r="H42" s="514">
        <f>I42+Q42</f>
        <v>172</v>
      </c>
      <c r="I42" s="514">
        <f>J42+K42+L42+M42+N42+O42+P42</f>
        <v>86</v>
      </c>
      <c r="J42" s="523">
        <v>11</v>
      </c>
      <c r="K42" s="523"/>
      <c r="L42" s="523">
        <v>75</v>
      </c>
      <c r="M42" s="523"/>
      <c r="N42" s="523"/>
      <c r="O42" s="523"/>
      <c r="P42" s="524"/>
      <c r="Q42" s="476">
        <v>86</v>
      </c>
      <c r="R42" s="515">
        <f>+Q42+P42+O42+N42+M42+L42</f>
        <v>161</v>
      </c>
      <c r="S42" s="520">
        <f t="shared" si="1"/>
        <v>12.790697674418606</v>
      </c>
      <c r="T42" s="517">
        <f t="shared" si="4"/>
        <v>0.5</v>
      </c>
      <c r="U42" s="518">
        <f t="shared" si="5"/>
        <v>75</v>
      </c>
      <c r="V42" s="466"/>
      <c r="W42" s="490">
        <f t="shared" si="2"/>
        <v>0</v>
      </c>
      <c r="X42" s="491">
        <f t="shared" si="6"/>
        <v>161</v>
      </c>
      <c r="Y42" s="491" t="str">
        <f t="shared" si="7"/>
        <v>Đ</v>
      </c>
      <c r="Z42" s="494">
        <f t="shared" si="8"/>
        <v>75</v>
      </c>
      <c r="AA42" s="494">
        <v>89</v>
      </c>
      <c r="AB42" s="542">
        <f t="shared" si="9"/>
        <v>-15.730337078651685</v>
      </c>
      <c r="AC42" s="499">
        <f t="shared" si="10"/>
        <v>-14</v>
      </c>
    </row>
    <row r="43" spans="1:29" ht="21.75" customHeight="1">
      <c r="A43" s="1018" t="s">
        <v>580</v>
      </c>
      <c r="B43" s="437" t="s">
        <v>562</v>
      </c>
      <c r="C43" s="514">
        <f t="shared" si="23"/>
        <v>235</v>
      </c>
      <c r="D43" s="523">
        <v>224</v>
      </c>
      <c r="E43" s="523">
        <v>11</v>
      </c>
      <c r="F43" s="523">
        <v>0</v>
      </c>
      <c r="G43" s="519"/>
      <c r="H43" s="514">
        <f>I43+Q43</f>
        <v>235</v>
      </c>
      <c r="I43" s="514">
        <f>J43+K43+L43+M43+N43+O43+P43</f>
        <v>75</v>
      </c>
      <c r="J43" s="523">
        <v>6</v>
      </c>
      <c r="K43" s="523"/>
      <c r="L43" s="523">
        <v>66</v>
      </c>
      <c r="M43" s="523">
        <v>3</v>
      </c>
      <c r="N43" s="523"/>
      <c r="O43" s="523"/>
      <c r="P43" s="524"/>
      <c r="Q43" s="476">
        <v>160</v>
      </c>
      <c r="R43" s="515">
        <f>+Q43+P43+O43+N43+M43+L43</f>
        <v>229</v>
      </c>
      <c r="S43" s="520">
        <f t="shared" si="1"/>
        <v>8</v>
      </c>
      <c r="T43" s="517">
        <f t="shared" si="4"/>
        <v>0.3191489361702128</v>
      </c>
      <c r="U43" s="518">
        <f t="shared" si="5"/>
        <v>69</v>
      </c>
      <c r="V43" s="466"/>
      <c r="W43" s="490">
        <f t="shared" si="2"/>
        <v>0</v>
      </c>
      <c r="X43" s="491">
        <f t="shared" si="6"/>
        <v>229</v>
      </c>
      <c r="Y43" s="491" t="str">
        <f t="shared" si="7"/>
        <v>Đ</v>
      </c>
      <c r="Z43" s="494">
        <f t="shared" si="8"/>
        <v>69</v>
      </c>
      <c r="AA43" s="494"/>
      <c r="AB43" s="542" t="e">
        <f t="shared" si="9"/>
        <v>#DIV/0!</v>
      </c>
      <c r="AC43" s="499">
        <f t="shared" si="10"/>
        <v>69</v>
      </c>
    </row>
    <row r="44" spans="1:29" ht="21.75" customHeight="1">
      <c r="A44" s="1017" t="s">
        <v>58</v>
      </c>
      <c r="B44" s="513" t="s">
        <v>487</v>
      </c>
      <c r="C44" s="514">
        <f t="shared" si="23"/>
        <v>603</v>
      </c>
      <c r="D44" s="514">
        <f>SUM(D45:D47)</f>
        <v>520</v>
      </c>
      <c r="E44" s="514">
        <f>SUM(E45:E47)</f>
        <v>83</v>
      </c>
      <c r="F44" s="514">
        <f>SUM(F45:F47)</f>
        <v>0</v>
      </c>
      <c r="G44" s="514">
        <f>SUM(G45:G47)</f>
        <v>0</v>
      </c>
      <c r="H44" s="514">
        <f aca="true" t="shared" si="24" ref="H44:H72">SUM(I44,Q44)</f>
        <v>603</v>
      </c>
      <c r="I44" s="514">
        <f aca="true" t="shared" si="25" ref="I44:I72">SUM(J44:P44)</f>
        <v>360</v>
      </c>
      <c r="J44" s="514">
        <f aca="true" t="shared" si="26" ref="J44:Q44">SUM(J45:J47)</f>
        <v>38</v>
      </c>
      <c r="K44" s="514">
        <f t="shared" si="26"/>
        <v>1</v>
      </c>
      <c r="L44" s="514">
        <f t="shared" si="26"/>
        <v>321</v>
      </c>
      <c r="M44" s="514">
        <f t="shared" si="26"/>
        <v>0</v>
      </c>
      <c r="N44" s="514">
        <f t="shared" si="26"/>
        <v>0</v>
      </c>
      <c r="O44" s="514">
        <f t="shared" si="26"/>
        <v>0</v>
      </c>
      <c r="P44" s="514">
        <f t="shared" si="26"/>
        <v>0</v>
      </c>
      <c r="Q44" s="514">
        <f t="shared" si="26"/>
        <v>243</v>
      </c>
      <c r="R44" s="515">
        <f aca="true" t="shared" si="27" ref="R44:R79">SUM(L44:Q44)</f>
        <v>564</v>
      </c>
      <c r="S44" s="516">
        <f t="shared" si="1"/>
        <v>10.833333333333334</v>
      </c>
      <c r="T44" s="517">
        <f t="shared" si="4"/>
        <v>0.5970149253731343</v>
      </c>
      <c r="U44" s="518">
        <f t="shared" si="5"/>
        <v>321</v>
      </c>
      <c r="V44" s="464">
        <f>V45+V46+V47</f>
        <v>0</v>
      </c>
      <c r="W44" s="490">
        <f t="shared" si="2"/>
        <v>0</v>
      </c>
      <c r="X44" s="491">
        <f t="shared" si="6"/>
        <v>564</v>
      </c>
      <c r="Y44" s="491" t="str">
        <f t="shared" si="7"/>
        <v>Đ</v>
      </c>
      <c r="Z44" s="495">
        <f t="shared" si="8"/>
        <v>321</v>
      </c>
      <c r="AA44" s="495" t="e">
        <f>+#REF!+AA46+AA47</f>
        <v>#REF!</v>
      </c>
      <c r="AB44" s="542" t="e">
        <f t="shared" si="9"/>
        <v>#REF!</v>
      </c>
      <c r="AC44" s="499" t="e">
        <f t="shared" si="10"/>
        <v>#REF!</v>
      </c>
    </row>
    <row r="45" spans="1:29" ht="21.75" customHeight="1">
      <c r="A45" s="1018" t="s">
        <v>116</v>
      </c>
      <c r="B45" s="1019" t="s">
        <v>474</v>
      </c>
      <c r="C45" s="514">
        <f t="shared" si="23"/>
        <v>173</v>
      </c>
      <c r="D45" s="550">
        <v>134</v>
      </c>
      <c r="E45" s="510">
        <v>39</v>
      </c>
      <c r="F45" s="510"/>
      <c r="G45" s="510"/>
      <c r="H45" s="514">
        <f>+I45+Q45</f>
        <v>173</v>
      </c>
      <c r="I45" s="514">
        <f>+J45+K45+L45+M45+N45+O45+P45</f>
        <v>111</v>
      </c>
      <c r="J45" s="510">
        <v>11</v>
      </c>
      <c r="K45" s="510"/>
      <c r="L45" s="510">
        <v>100</v>
      </c>
      <c r="M45" s="510">
        <v>0</v>
      </c>
      <c r="N45" s="510">
        <v>0</v>
      </c>
      <c r="O45" s="510">
        <v>0</v>
      </c>
      <c r="P45" s="511">
        <v>0</v>
      </c>
      <c r="Q45" s="512">
        <v>62</v>
      </c>
      <c r="R45" s="515">
        <f t="shared" si="27"/>
        <v>162</v>
      </c>
      <c r="S45" s="520">
        <f aca="true" t="shared" si="28" ref="S45:S79">(((J45+K45))/I45)*100</f>
        <v>9.90990990990991</v>
      </c>
      <c r="T45" s="517">
        <f t="shared" si="4"/>
        <v>0.6416184971098265</v>
      </c>
      <c r="U45" s="518">
        <f t="shared" si="5"/>
        <v>100</v>
      </c>
      <c r="V45" s="499"/>
      <c r="W45" s="490">
        <f t="shared" si="2"/>
        <v>0</v>
      </c>
      <c r="X45" s="491">
        <f t="shared" si="6"/>
        <v>162</v>
      </c>
      <c r="Y45" s="491" t="str">
        <f t="shared" si="7"/>
        <v>Đ</v>
      </c>
      <c r="Z45" s="494"/>
      <c r="AA45" s="494"/>
      <c r="AB45" s="542"/>
      <c r="AC45" s="499"/>
    </row>
    <row r="46" spans="1:29" ht="21.75" customHeight="1">
      <c r="A46" s="1018" t="s">
        <v>117</v>
      </c>
      <c r="B46" s="1019" t="s">
        <v>486</v>
      </c>
      <c r="C46" s="514">
        <f t="shared" si="23"/>
        <v>132</v>
      </c>
      <c r="D46" s="550">
        <v>115</v>
      </c>
      <c r="E46" s="510">
        <v>17</v>
      </c>
      <c r="F46" s="550"/>
      <c r="G46" s="510"/>
      <c r="H46" s="514">
        <f>+I46+Q46</f>
        <v>132</v>
      </c>
      <c r="I46" s="514">
        <f>+J46+K46+L46+M46+N46+O46+P46</f>
        <v>52</v>
      </c>
      <c r="J46" s="510">
        <v>9</v>
      </c>
      <c r="K46" s="510">
        <v>1</v>
      </c>
      <c r="L46" s="510">
        <v>42</v>
      </c>
      <c r="M46" s="510">
        <v>0</v>
      </c>
      <c r="N46" s="510">
        <v>0</v>
      </c>
      <c r="O46" s="510">
        <v>0</v>
      </c>
      <c r="P46" s="511">
        <v>0</v>
      </c>
      <c r="Q46" s="512">
        <v>80</v>
      </c>
      <c r="R46" s="515">
        <f t="shared" si="27"/>
        <v>122</v>
      </c>
      <c r="S46" s="520">
        <f t="shared" si="28"/>
        <v>19.230769230769234</v>
      </c>
      <c r="T46" s="517">
        <f t="shared" si="4"/>
        <v>0.3939393939393939</v>
      </c>
      <c r="U46" s="518">
        <f t="shared" si="5"/>
        <v>42</v>
      </c>
      <c r="V46" s="499"/>
      <c r="W46" s="490">
        <f t="shared" si="2"/>
        <v>0</v>
      </c>
      <c r="X46" s="491">
        <f t="shared" si="6"/>
        <v>122</v>
      </c>
      <c r="Y46" s="491" t="str">
        <f t="shared" si="7"/>
        <v>Đ</v>
      </c>
      <c r="Z46" s="494">
        <f t="shared" si="8"/>
        <v>42</v>
      </c>
      <c r="AA46" s="494">
        <v>63</v>
      </c>
      <c r="AB46" s="542">
        <f t="shared" si="9"/>
        <v>-33.33333333333333</v>
      </c>
      <c r="AC46" s="499">
        <f t="shared" si="10"/>
        <v>-21</v>
      </c>
    </row>
    <row r="47" spans="1:29" ht="21.75" customHeight="1">
      <c r="A47" s="1018" t="s">
        <v>118</v>
      </c>
      <c r="B47" s="1019" t="s">
        <v>547</v>
      </c>
      <c r="C47" s="514">
        <f t="shared" si="23"/>
        <v>298</v>
      </c>
      <c r="D47" s="550">
        <v>271</v>
      </c>
      <c r="E47" s="510">
        <v>27</v>
      </c>
      <c r="F47" s="550"/>
      <c r="G47" s="510"/>
      <c r="H47" s="514">
        <f>+I47+Q47</f>
        <v>298</v>
      </c>
      <c r="I47" s="514">
        <f>+J47+K47+L47+M47+N47+O47+P47</f>
        <v>197</v>
      </c>
      <c r="J47" s="510">
        <v>18</v>
      </c>
      <c r="K47" s="510"/>
      <c r="L47" s="510">
        <v>179</v>
      </c>
      <c r="M47" s="510">
        <v>0</v>
      </c>
      <c r="N47" s="510">
        <v>0</v>
      </c>
      <c r="O47" s="510">
        <v>0</v>
      </c>
      <c r="P47" s="511">
        <v>0</v>
      </c>
      <c r="Q47" s="512">
        <v>101</v>
      </c>
      <c r="R47" s="515">
        <f t="shared" si="27"/>
        <v>280</v>
      </c>
      <c r="S47" s="520">
        <f t="shared" si="28"/>
        <v>9.137055837563452</v>
      </c>
      <c r="T47" s="517">
        <f t="shared" si="4"/>
        <v>0.6610738255033557</v>
      </c>
      <c r="U47" s="518">
        <f t="shared" si="5"/>
        <v>179</v>
      </c>
      <c r="V47" s="499"/>
      <c r="W47" s="490">
        <f t="shared" si="2"/>
        <v>0</v>
      </c>
      <c r="X47" s="491">
        <f t="shared" si="6"/>
        <v>280</v>
      </c>
      <c r="Y47" s="491" t="str">
        <f t="shared" si="7"/>
        <v>Đ</v>
      </c>
      <c r="Z47" s="494">
        <f t="shared" si="8"/>
        <v>179</v>
      </c>
      <c r="AA47" s="494">
        <v>40</v>
      </c>
      <c r="AB47" s="542">
        <f t="shared" si="9"/>
        <v>347.5</v>
      </c>
      <c r="AC47" s="499">
        <f t="shared" si="10"/>
        <v>139</v>
      </c>
    </row>
    <row r="48" spans="1:29" ht="21.75" customHeight="1">
      <c r="A48" s="1017" t="s">
        <v>59</v>
      </c>
      <c r="B48" s="513" t="s">
        <v>485</v>
      </c>
      <c r="C48" s="514">
        <f t="shared" si="23"/>
        <v>628</v>
      </c>
      <c r="D48" s="514">
        <f aca="true" t="shared" si="29" ref="D48:R48">SUM(D49:D53)</f>
        <v>537</v>
      </c>
      <c r="E48" s="514">
        <f t="shared" si="29"/>
        <v>91</v>
      </c>
      <c r="F48" s="514">
        <f t="shared" si="29"/>
        <v>0</v>
      </c>
      <c r="G48" s="514">
        <f t="shared" si="29"/>
        <v>0</v>
      </c>
      <c r="H48" s="514">
        <f t="shared" si="29"/>
        <v>628</v>
      </c>
      <c r="I48" s="514">
        <f t="shared" si="29"/>
        <v>320</v>
      </c>
      <c r="J48" s="514">
        <f t="shared" si="29"/>
        <v>34</v>
      </c>
      <c r="K48" s="514">
        <f t="shared" si="29"/>
        <v>2</v>
      </c>
      <c r="L48" s="514">
        <f t="shared" si="29"/>
        <v>280</v>
      </c>
      <c r="M48" s="514">
        <f t="shared" si="29"/>
        <v>4</v>
      </c>
      <c r="N48" s="514">
        <f t="shared" si="29"/>
        <v>0</v>
      </c>
      <c r="O48" s="514">
        <f t="shared" si="29"/>
        <v>0</v>
      </c>
      <c r="P48" s="514">
        <f t="shared" si="29"/>
        <v>0</v>
      </c>
      <c r="Q48" s="514">
        <f t="shared" si="29"/>
        <v>308</v>
      </c>
      <c r="R48" s="514">
        <f t="shared" si="29"/>
        <v>592</v>
      </c>
      <c r="S48" s="516">
        <f t="shared" si="28"/>
        <v>11.25</v>
      </c>
      <c r="T48" s="517">
        <f t="shared" si="4"/>
        <v>0.5095541401273885</v>
      </c>
      <c r="U48" s="518">
        <f t="shared" si="5"/>
        <v>284</v>
      </c>
      <c r="V48" s="539">
        <f>+V49+V50+V51+V52+V53</f>
        <v>0</v>
      </c>
      <c r="W48" s="490">
        <f>+C48-(F48+G48+H48)</f>
        <v>0</v>
      </c>
      <c r="X48" s="491">
        <f t="shared" si="6"/>
        <v>592</v>
      </c>
      <c r="Y48" s="491" t="str">
        <f t="shared" si="7"/>
        <v>Đ</v>
      </c>
      <c r="Z48" s="495">
        <f t="shared" si="8"/>
        <v>284</v>
      </c>
      <c r="AA48" s="495">
        <v>210</v>
      </c>
      <c r="AB48" s="542">
        <f t="shared" si="9"/>
        <v>35.23809523809524</v>
      </c>
      <c r="AC48" s="499">
        <f t="shared" si="10"/>
        <v>74</v>
      </c>
    </row>
    <row r="49" spans="1:29" ht="21.75" customHeight="1">
      <c r="A49" s="1018" t="s">
        <v>120</v>
      </c>
      <c r="B49" s="576" t="s">
        <v>578</v>
      </c>
      <c r="C49" s="514">
        <f t="shared" si="23"/>
        <v>166</v>
      </c>
      <c r="D49" s="577">
        <v>139</v>
      </c>
      <c r="E49" s="577">
        <v>27</v>
      </c>
      <c r="F49" s="536"/>
      <c r="G49" s="536"/>
      <c r="H49" s="514">
        <f>+I49+Q49</f>
        <v>166</v>
      </c>
      <c r="I49" s="514">
        <f>+J49+K49+L49+M49+N49+O49+P49</f>
        <v>72</v>
      </c>
      <c r="J49" s="577">
        <v>7</v>
      </c>
      <c r="K49" s="577">
        <v>2</v>
      </c>
      <c r="L49" s="577">
        <v>63</v>
      </c>
      <c r="M49" s="577">
        <v>0</v>
      </c>
      <c r="N49" s="577">
        <v>0</v>
      </c>
      <c r="O49" s="577">
        <v>0</v>
      </c>
      <c r="P49" s="577">
        <v>0</v>
      </c>
      <c r="Q49" s="577">
        <v>94</v>
      </c>
      <c r="R49" s="515">
        <f t="shared" si="27"/>
        <v>157</v>
      </c>
      <c r="S49" s="520">
        <f t="shared" si="28"/>
        <v>12.5</v>
      </c>
      <c r="T49" s="517">
        <f t="shared" si="4"/>
        <v>0.43373493975903615</v>
      </c>
      <c r="U49" s="518">
        <f t="shared" si="5"/>
        <v>63</v>
      </c>
      <c r="V49" s="538"/>
      <c r="W49" s="490">
        <f aca="true" t="shared" si="30" ref="W49:W79">+C49-(F49+G49+H49)</f>
        <v>0</v>
      </c>
      <c r="X49" s="491">
        <f t="shared" si="6"/>
        <v>157</v>
      </c>
      <c r="Y49" s="491" t="str">
        <f t="shared" si="7"/>
        <v>Đ</v>
      </c>
      <c r="Z49" s="494">
        <f t="shared" si="8"/>
        <v>63</v>
      </c>
      <c r="AA49" s="494">
        <v>14</v>
      </c>
      <c r="AB49" s="542">
        <f t="shared" si="9"/>
        <v>350</v>
      </c>
      <c r="AC49" s="499">
        <f t="shared" si="10"/>
        <v>49</v>
      </c>
    </row>
    <row r="50" spans="1:29" ht="21.75" customHeight="1">
      <c r="A50" s="1018" t="s">
        <v>121</v>
      </c>
      <c r="B50" s="576" t="s">
        <v>484</v>
      </c>
      <c r="C50" s="514">
        <f t="shared" si="23"/>
        <v>78</v>
      </c>
      <c r="D50" s="577">
        <v>62</v>
      </c>
      <c r="E50" s="577">
        <v>16</v>
      </c>
      <c r="F50" s="536"/>
      <c r="G50" s="536"/>
      <c r="H50" s="514">
        <f>+I50+Q50</f>
        <v>78</v>
      </c>
      <c r="I50" s="514">
        <f>+J50+K50+L50+M50+N50+O50+P50</f>
        <v>40</v>
      </c>
      <c r="J50" s="577">
        <v>8</v>
      </c>
      <c r="K50" s="577">
        <v>0</v>
      </c>
      <c r="L50" s="577">
        <v>32</v>
      </c>
      <c r="M50" s="577">
        <v>0</v>
      </c>
      <c r="N50" s="577">
        <v>0</v>
      </c>
      <c r="O50" s="577">
        <v>0</v>
      </c>
      <c r="P50" s="577">
        <v>0</v>
      </c>
      <c r="Q50" s="577">
        <v>38</v>
      </c>
      <c r="R50" s="515">
        <f t="shared" si="27"/>
        <v>70</v>
      </c>
      <c r="S50" s="520">
        <f t="shared" si="28"/>
        <v>20</v>
      </c>
      <c r="T50" s="517">
        <f t="shared" si="4"/>
        <v>0.5128205128205128</v>
      </c>
      <c r="U50" s="518">
        <f t="shared" si="5"/>
        <v>32</v>
      </c>
      <c r="V50" s="538"/>
      <c r="W50" s="490">
        <f t="shared" si="30"/>
        <v>0</v>
      </c>
      <c r="X50" s="491">
        <f t="shared" si="6"/>
        <v>70</v>
      </c>
      <c r="Y50" s="491" t="str">
        <f t="shared" si="7"/>
        <v>Đ</v>
      </c>
      <c r="Z50" s="495">
        <f t="shared" si="8"/>
        <v>32</v>
      </c>
      <c r="AA50" s="495">
        <v>65</v>
      </c>
      <c r="AB50" s="542">
        <f t="shared" si="9"/>
        <v>-50.76923076923077</v>
      </c>
      <c r="AC50" s="499">
        <f t="shared" si="10"/>
        <v>-33</v>
      </c>
    </row>
    <row r="51" spans="1:29" ht="21.75" customHeight="1">
      <c r="A51" s="1018" t="s">
        <v>122</v>
      </c>
      <c r="B51" s="576" t="s">
        <v>494</v>
      </c>
      <c r="C51" s="514">
        <f t="shared" si="23"/>
        <v>92</v>
      </c>
      <c r="D51" s="577">
        <v>79</v>
      </c>
      <c r="E51" s="577">
        <v>13</v>
      </c>
      <c r="F51" s="536"/>
      <c r="G51" s="536"/>
      <c r="H51" s="514">
        <f>+I51+Q51</f>
        <v>92</v>
      </c>
      <c r="I51" s="514">
        <f>+J51+K51+L51+M51+N51+O51+P51</f>
        <v>53</v>
      </c>
      <c r="J51" s="577">
        <v>5</v>
      </c>
      <c r="K51" s="577">
        <v>0</v>
      </c>
      <c r="L51" s="577">
        <v>47</v>
      </c>
      <c r="M51" s="577">
        <v>1</v>
      </c>
      <c r="N51" s="577">
        <v>0</v>
      </c>
      <c r="O51" s="577">
        <v>0</v>
      </c>
      <c r="P51" s="577">
        <v>0</v>
      </c>
      <c r="Q51" s="577">
        <v>39</v>
      </c>
      <c r="R51" s="515">
        <f t="shared" si="27"/>
        <v>87</v>
      </c>
      <c r="S51" s="520">
        <f t="shared" si="28"/>
        <v>9.433962264150944</v>
      </c>
      <c r="T51" s="517">
        <f t="shared" si="4"/>
        <v>0.5760869565217391</v>
      </c>
      <c r="U51" s="518">
        <f t="shared" si="5"/>
        <v>48</v>
      </c>
      <c r="V51" s="538"/>
      <c r="W51" s="490">
        <f t="shared" si="30"/>
        <v>0</v>
      </c>
      <c r="X51" s="491">
        <f t="shared" si="6"/>
        <v>87</v>
      </c>
      <c r="Y51" s="491" t="str">
        <f t="shared" si="7"/>
        <v>Đ</v>
      </c>
      <c r="Z51" s="494">
        <f t="shared" si="8"/>
        <v>48</v>
      </c>
      <c r="AA51" s="494">
        <v>36</v>
      </c>
      <c r="AB51" s="542">
        <f t="shared" si="9"/>
        <v>33.33333333333333</v>
      </c>
      <c r="AC51" s="499">
        <f t="shared" si="10"/>
        <v>12</v>
      </c>
    </row>
    <row r="52" spans="1:29" ht="21.75" customHeight="1">
      <c r="A52" s="1018" t="s">
        <v>483</v>
      </c>
      <c r="B52" s="576" t="s">
        <v>579</v>
      </c>
      <c r="C52" s="514">
        <f t="shared" si="23"/>
        <v>192</v>
      </c>
      <c r="D52" s="577">
        <v>176</v>
      </c>
      <c r="E52" s="577">
        <v>16</v>
      </c>
      <c r="F52" s="536"/>
      <c r="G52" s="536"/>
      <c r="H52" s="514">
        <f>+I52+Q52</f>
        <v>192</v>
      </c>
      <c r="I52" s="514">
        <f>+J52+K52+L52+M52+N52+O52+P52</f>
        <v>88</v>
      </c>
      <c r="J52" s="577">
        <v>4</v>
      </c>
      <c r="K52" s="577">
        <v>0</v>
      </c>
      <c r="L52" s="577">
        <v>82</v>
      </c>
      <c r="M52" s="577">
        <v>2</v>
      </c>
      <c r="N52" s="577">
        <v>0</v>
      </c>
      <c r="O52" s="577">
        <v>0</v>
      </c>
      <c r="P52" s="577">
        <v>0</v>
      </c>
      <c r="Q52" s="577">
        <v>104</v>
      </c>
      <c r="R52" s="515">
        <f t="shared" si="27"/>
        <v>188</v>
      </c>
      <c r="S52" s="520">
        <f t="shared" si="28"/>
        <v>4.545454545454546</v>
      </c>
      <c r="T52" s="517">
        <f t="shared" si="4"/>
        <v>0.4583333333333333</v>
      </c>
      <c r="U52" s="518">
        <f t="shared" si="5"/>
        <v>84</v>
      </c>
      <c r="V52" s="538"/>
      <c r="W52" s="490">
        <f t="shared" si="30"/>
        <v>0</v>
      </c>
      <c r="X52" s="491">
        <f t="shared" si="6"/>
        <v>188</v>
      </c>
      <c r="Y52" s="491" t="str">
        <f t="shared" si="7"/>
        <v>Đ</v>
      </c>
      <c r="Z52" s="494">
        <f t="shared" si="8"/>
        <v>84</v>
      </c>
      <c r="AA52" s="494"/>
      <c r="AB52" s="542" t="e">
        <f t="shared" si="9"/>
        <v>#DIV/0!</v>
      </c>
      <c r="AC52" s="499">
        <f t="shared" si="10"/>
        <v>84</v>
      </c>
    </row>
    <row r="53" spans="1:29" ht="21.75" customHeight="1">
      <c r="A53" s="1018" t="s">
        <v>539</v>
      </c>
      <c r="B53" s="576" t="s">
        <v>482</v>
      </c>
      <c r="C53" s="514">
        <f t="shared" si="23"/>
        <v>100</v>
      </c>
      <c r="D53" s="577">
        <v>81</v>
      </c>
      <c r="E53" s="577">
        <v>19</v>
      </c>
      <c r="F53" s="536"/>
      <c r="G53" s="536"/>
      <c r="H53" s="514">
        <f>+I53+Q53</f>
        <v>100</v>
      </c>
      <c r="I53" s="514">
        <f>+J53+K53+L53+M53+N53+O53+P53</f>
        <v>67</v>
      </c>
      <c r="J53" s="577">
        <v>10</v>
      </c>
      <c r="K53" s="577">
        <v>0</v>
      </c>
      <c r="L53" s="577">
        <v>56</v>
      </c>
      <c r="M53" s="577">
        <v>1</v>
      </c>
      <c r="N53" s="577">
        <v>0</v>
      </c>
      <c r="O53" s="577">
        <v>0</v>
      </c>
      <c r="P53" s="577">
        <v>0</v>
      </c>
      <c r="Q53" s="577">
        <v>33</v>
      </c>
      <c r="R53" s="515">
        <f t="shared" si="27"/>
        <v>90</v>
      </c>
      <c r="S53" s="520">
        <f t="shared" si="28"/>
        <v>14.925373134328357</v>
      </c>
      <c r="T53" s="517">
        <f t="shared" si="4"/>
        <v>0.67</v>
      </c>
      <c r="U53" s="518">
        <f t="shared" si="5"/>
        <v>57</v>
      </c>
      <c r="V53" s="538"/>
      <c r="W53" s="490">
        <f t="shared" si="30"/>
        <v>0</v>
      </c>
      <c r="X53" s="491">
        <f t="shared" si="6"/>
        <v>90</v>
      </c>
      <c r="Y53" s="491" t="str">
        <f t="shared" si="7"/>
        <v>Đ</v>
      </c>
      <c r="Z53" s="494">
        <f t="shared" si="8"/>
        <v>57</v>
      </c>
      <c r="AA53" s="494">
        <v>30</v>
      </c>
      <c r="AB53" s="542">
        <f t="shared" si="9"/>
        <v>90</v>
      </c>
      <c r="AC53" s="499">
        <f t="shared" si="10"/>
        <v>27</v>
      </c>
    </row>
    <row r="54" spans="1:29" ht="21.75" customHeight="1">
      <c r="A54" s="1017" t="s">
        <v>60</v>
      </c>
      <c r="B54" s="513" t="s">
        <v>481</v>
      </c>
      <c r="C54" s="514">
        <f>+C55+C56+C57+C58+C59+C60</f>
        <v>1324</v>
      </c>
      <c r="D54" s="514">
        <f aca="true" t="shared" si="31" ref="D54:R54">+D55+D56+D57+D58+D59+D60</f>
        <v>1228</v>
      </c>
      <c r="E54" s="514">
        <f t="shared" si="31"/>
        <v>96</v>
      </c>
      <c r="F54" s="514">
        <f t="shared" si="31"/>
        <v>0</v>
      </c>
      <c r="G54" s="514">
        <f t="shared" si="31"/>
        <v>0</v>
      </c>
      <c r="H54" s="514">
        <f t="shared" si="31"/>
        <v>1324</v>
      </c>
      <c r="I54" s="514">
        <f t="shared" si="31"/>
        <v>832</v>
      </c>
      <c r="J54" s="514">
        <f t="shared" si="31"/>
        <v>61</v>
      </c>
      <c r="K54" s="514">
        <f t="shared" si="31"/>
        <v>1</v>
      </c>
      <c r="L54" s="514">
        <f t="shared" si="31"/>
        <v>770</v>
      </c>
      <c r="M54" s="514">
        <f t="shared" si="31"/>
        <v>0</v>
      </c>
      <c r="N54" s="514">
        <f t="shared" si="31"/>
        <v>0</v>
      </c>
      <c r="O54" s="514">
        <f t="shared" si="31"/>
        <v>0</v>
      </c>
      <c r="P54" s="514">
        <f t="shared" si="31"/>
        <v>0</v>
      </c>
      <c r="Q54" s="514">
        <f t="shared" si="31"/>
        <v>492</v>
      </c>
      <c r="R54" s="514">
        <f t="shared" si="31"/>
        <v>1262</v>
      </c>
      <c r="S54" s="520">
        <f t="shared" si="28"/>
        <v>7.451923076923077</v>
      </c>
      <c r="T54" s="517">
        <f t="shared" si="4"/>
        <v>0.6283987915407855</v>
      </c>
      <c r="U54" s="518">
        <f t="shared" si="5"/>
        <v>770</v>
      </c>
      <c r="V54" s="464">
        <f>+V55+V56+V57+V58+V59+V60</f>
        <v>0</v>
      </c>
      <c r="W54" s="490">
        <f t="shared" si="30"/>
        <v>0</v>
      </c>
      <c r="X54" s="491">
        <f t="shared" si="6"/>
        <v>1262</v>
      </c>
      <c r="Y54" s="491" t="str">
        <f t="shared" si="7"/>
        <v>Đ</v>
      </c>
      <c r="Z54" s="495">
        <f t="shared" si="8"/>
        <v>770</v>
      </c>
      <c r="AA54" s="495">
        <v>384</v>
      </c>
      <c r="AB54" s="542">
        <f t="shared" si="9"/>
        <v>100.52083333333333</v>
      </c>
      <c r="AC54" s="499">
        <f t="shared" si="10"/>
        <v>386</v>
      </c>
    </row>
    <row r="55" spans="1:29" ht="21.75" customHeight="1">
      <c r="A55" s="1018" t="s">
        <v>480</v>
      </c>
      <c r="B55" s="1028" t="s">
        <v>503</v>
      </c>
      <c r="C55" s="514">
        <f t="shared" si="23"/>
        <v>214</v>
      </c>
      <c r="D55" s="523">
        <v>203</v>
      </c>
      <c r="E55" s="523">
        <v>11</v>
      </c>
      <c r="F55" s="523"/>
      <c r="G55" s="519"/>
      <c r="H55" s="514">
        <f t="shared" si="24"/>
        <v>214</v>
      </c>
      <c r="I55" s="514">
        <f t="shared" si="25"/>
        <v>138</v>
      </c>
      <c r="J55" s="523">
        <v>6</v>
      </c>
      <c r="K55" s="523">
        <v>1</v>
      </c>
      <c r="L55" s="523">
        <v>131</v>
      </c>
      <c r="M55" s="523"/>
      <c r="N55" s="523"/>
      <c r="O55" s="523"/>
      <c r="P55" s="524"/>
      <c r="Q55" s="527">
        <v>76</v>
      </c>
      <c r="R55" s="515">
        <f t="shared" si="27"/>
        <v>207</v>
      </c>
      <c r="S55" s="520">
        <f t="shared" si="28"/>
        <v>5.072463768115942</v>
      </c>
      <c r="T55" s="517">
        <f t="shared" si="4"/>
        <v>0.6448598130841121</v>
      </c>
      <c r="U55" s="518">
        <f t="shared" si="5"/>
        <v>131</v>
      </c>
      <c r="V55" s="527"/>
      <c r="W55" s="490">
        <f t="shared" si="30"/>
        <v>0</v>
      </c>
      <c r="X55" s="491">
        <f t="shared" si="6"/>
        <v>207</v>
      </c>
      <c r="Y55" s="491" t="str">
        <f t="shared" si="7"/>
        <v>Đ</v>
      </c>
      <c r="Z55" s="494">
        <f t="shared" si="8"/>
        <v>131</v>
      </c>
      <c r="AA55" s="494">
        <v>14</v>
      </c>
      <c r="AB55" s="542">
        <f t="shared" si="9"/>
        <v>835.7142857142858</v>
      </c>
      <c r="AC55" s="499">
        <f t="shared" si="10"/>
        <v>117</v>
      </c>
    </row>
    <row r="56" spans="1:29" ht="21.75" customHeight="1">
      <c r="A56" s="1018" t="s">
        <v>479</v>
      </c>
      <c r="B56" s="1028" t="s">
        <v>478</v>
      </c>
      <c r="C56" s="514">
        <f t="shared" si="23"/>
        <v>279</v>
      </c>
      <c r="D56" s="523">
        <v>267</v>
      </c>
      <c r="E56" s="523">
        <v>12</v>
      </c>
      <c r="F56" s="523"/>
      <c r="G56" s="519"/>
      <c r="H56" s="514">
        <f t="shared" si="24"/>
        <v>279</v>
      </c>
      <c r="I56" s="514">
        <f t="shared" si="25"/>
        <v>161</v>
      </c>
      <c r="J56" s="523">
        <v>6</v>
      </c>
      <c r="K56" s="523"/>
      <c r="L56" s="523">
        <v>155</v>
      </c>
      <c r="M56" s="523"/>
      <c r="N56" s="523"/>
      <c r="O56" s="523"/>
      <c r="P56" s="524"/>
      <c r="Q56" s="527">
        <v>118</v>
      </c>
      <c r="R56" s="515">
        <f t="shared" si="27"/>
        <v>273</v>
      </c>
      <c r="S56" s="520">
        <f t="shared" si="28"/>
        <v>3.7267080745341614</v>
      </c>
      <c r="T56" s="517">
        <f t="shared" si="4"/>
        <v>0.5770609318996416</v>
      </c>
      <c r="U56" s="518">
        <f t="shared" si="5"/>
        <v>155</v>
      </c>
      <c r="V56" s="527"/>
      <c r="W56" s="490">
        <f t="shared" si="30"/>
        <v>0</v>
      </c>
      <c r="X56" s="491">
        <f t="shared" si="6"/>
        <v>273</v>
      </c>
      <c r="Y56" s="491" t="str">
        <f t="shared" si="7"/>
        <v>Đ</v>
      </c>
      <c r="Z56" s="494">
        <f t="shared" si="8"/>
        <v>155</v>
      </c>
      <c r="AA56" s="494">
        <v>94</v>
      </c>
      <c r="AB56" s="542">
        <f t="shared" si="9"/>
        <v>64.8936170212766</v>
      </c>
      <c r="AC56" s="499">
        <f t="shared" si="10"/>
        <v>61</v>
      </c>
    </row>
    <row r="57" spans="1:29" ht="21.75" customHeight="1">
      <c r="A57" s="1018" t="s">
        <v>477</v>
      </c>
      <c r="B57" s="1028" t="s">
        <v>476</v>
      </c>
      <c r="C57" s="514">
        <f t="shared" si="23"/>
        <v>323</v>
      </c>
      <c r="D57" s="523">
        <v>305</v>
      </c>
      <c r="E57" s="523">
        <v>18</v>
      </c>
      <c r="F57" s="523"/>
      <c r="G57" s="519"/>
      <c r="H57" s="514">
        <f t="shared" si="24"/>
        <v>323</v>
      </c>
      <c r="I57" s="514">
        <f t="shared" si="25"/>
        <v>213</v>
      </c>
      <c r="J57" s="523">
        <v>11</v>
      </c>
      <c r="K57" s="523"/>
      <c r="L57" s="523">
        <v>202</v>
      </c>
      <c r="M57" s="523"/>
      <c r="N57" s="523"/>
      <c r="O57" s="523"/>
      <c r="P57" s="524"/>
      <c r="Q57" s="527">
        <v>110</v>
      </c>
      <c r="R57" s="515">
        <f t="shared" si="27"/>
        <v>312</v>
      </c>
      <c r="S57" s="520">
        <f t="shared" si="28"/>
        <v>5.164319248826291</v>
      </c>
      <c r="T57" s="517">
        <f t="shared" si="4"/>
        <v>0.6594427244582043</v>
      </c>
      <c r="U57" s="518">
        <f t="shared" si="5"/>
        <v>202</v>
      </c>
      <c r="V57" s="527"/>
      <c r="W57" s="490">
        <f t="shared" si="30"/>
        <v>0</v>
      </c>
      <c r="X57" s="491">
        <f t="shared" si="6"/>
        <v>312</v>
      </c>
      <c r="Y57" s="491" t="str">
        <f t="shared" si="7"/>
        <v>Đ</v>
      </c>
      <c r="Z57" s="494">
        <f t="shared" si="8"/>
        <v>202</v>
      </c>
      <c r="AA57" s="494">
        <v>154</v>
      </c>
      <c r="AB57" s="542">
        <f t="shared" si="9"/>
        <v>31.16883116883117</v>
      </c>
      <c r="AC57" s="499">
        <f t="shared" si="10"/>
        <v>48</v>
      </c>
    </row>
    <row r="58" spans="1:29" ht="21.75" customHeight="1">
      <c r="A58" s="1018" t="s">
        <v>475</v>
      </c>
      <c r="B58" s="1028" t="s">
        <v>565</v>
      </c>
      <c r="C58" s="514">
        <f t="shared" si="23"/>
        <v>188</v>
      </c>
      <c r="D58" s="523">
        <v>166</v>
      </c>
      <c r="E58" s="523">
        <v>22</v>
      </c>
      <c r="F58" s="523"/>
      <c r="G58" s="519"/>
      <c r="H58" s="514">
        <f t="shared" si="24"/>
        <v>188</v>
      </c>
      <c r="I58" s="514">
        <f t="shared" si="25"/>
        <v>114</v>
      </c>
      <c r="J58" s="523">
        <v>14</v>
      </c>
      <c r="K58" s="523"/>
      <c r="L58" s="523">
        <v>100</v>
      </c>
      <c r="M58" s="523"/>
      <c r="N58" s="523"/>
      <c r="O58" s="523"/>
      <c r="P58" s="524"/>
      <c r="Q58" s="527">
        <v>74</v>
      </c>
      <c r="R58" s="515">
        <f t="shared" si="27"/>
        <v>174</v>
      </c>
      <c r="S58" s="520">
        <f t="shared" si="28"/>
        <v>12.280701754385964</v>
      </c>
      <c r="T58" s="517">
        <f t="shared" si="4"/>
        <v>0.6063829787234043</v>
      </c>
      <c r="U58" s="518">
        <f t="shared" si="5"/>
        <v>100</v>
      </c>
      <c r="V58" s="527"/>
      <c r="W58" s="490">
        <f t="shared" si="30"/>
        <v>0</v>
      </c>
      <c r="X58" s="491">
        <f t="shared" si="6"/>
        <v>174</v>
      </c>
      <c r="Y58" s="491" t="str">
        <f t="shared" si="7"/>
        <v>Đ</v>
      </c>
      <c r="Z58" s="494">
        <f t="shared" si="8"/>
        <v>100</v>
      </c>
      <c r="AA58" s="494">
        <v>50</v>
      </c>
      <c r="AB58" s="542">
        <f t="shared" si="9"/>
        <v>100</v>
      </c>
      <c r="AC58" s="499">
        <f t="shared" si="10"/>
        <v>50</v>
      </c>
    </row>
    <row r="59" spans="1:29" ht="21.75" customHeight="1">
      <c r="A59" s="1018" t="s">
        <v>473</v>
      </c>
      <c r="B59" s="1028" t="s">
        <v>534</v>
      </c>
      <c r="C59" s="514">
        <f t="shared" si="23"/>
        <v>196</v>
      </c>
      <c r="D59" s="523">
        <v>190</v>
      </c>
      <c r="E59" s="523">
        <v>6</v>
      </c>
      <c r="F59" s="523"/>
      <c r="G59" s="519"/>
      <c r="H59" s="514">
        <f t="shared" si="24"/>
        <v>196</v>
      </c>
      <c r="I59" s="514">
        <f t="shared" si="25"/>
        <v>132</v>
      </c>
      <c r="J59" s="523">
        <v>3</v>
      </c>
      <c r="K59" s="523"/>
      <c r="L59" s="523">
        <v>129</v>
      </c>
      <c r="M59" s="523"/>
      <c r="N59" s="523"/>
      <c r="O59" s="523"/>
      <c r="P59" s="524"/>
      <c r="Q59" s="527">
        <v>64</v>
      </c>
      <c r="R59" s="515">
        <f t="shared" si="27"/>
        <v>193</v>
      </c>
      <c r="S59" s="520">
        <f t="shared" si="28"/>
        <v>2.272727272727273</v>
      </c>
      <c r="T59" s="517">
        <f t="shared" si="4"/>
        <v>0.673469387755102</v>
      </c>
      <c r="U59" s="518">
        <f t="shared" si="5"/>
        <v>129</v>
      </c>
      <c r="V59" s="527"/>
      <c r="W59" s="490">
        <f t="shared" si="30"/>
        <v>0</v>
      </c>
      <c r="X59" s="491">
        <f t="shared" si="6"/>
        <v>193</v>
      </c>
      <c r="Y59" s="491" t="str">
        <f>+IF(X58=R58,"Đ","S")</f>
        <v>Đ</v>
      </c>
      <c r="Z59" s="494"/>
      <c r="AA59" s="494"/>
      <c r="AB59" s="542"/>
      <c r="AC59" s="499"/>
    </row>
    <row r="60" spans="1:29" ht="21.75" customHeight="1">
      <c r="A60" s="1018" t="s">
        <v>537</v>
      </c>
      <c r="B60" s="1029" t="s">
        <v>551</v>
      </c>
      <c r="C60" s="514">
        <f t="shared" si="23"/>
        <v>124</v>
      </c>
      <c r="D60" s="510">
        <v>97</v>
      </c>
      <c r="E60" s="510">
        <v>27</v>
      </c>
      <c r="F60" s="551"/>
      <c r="G60" s="551"/>
      <c r="H60" s="514">
        <f t="shared" si="24"/>
        <v>124</v>
      </c>
      <c r="I60" s="514">
        <f t="shared" si="25"/>
        <v>74</v>
      </c>
      <c r="J60" s="510">
        <v>21</v>
      </c>
      <c r="K60" s="510"/>
      <c r="L60" s="510">
        <v>53</v>
      </c>
      <c r="M60" s="519"/>
      <c r="N60" s="519"/>
      <c r="O60" s="519"/>
      <c r="P60" s="519"/>
      <c r="Q60" s="585">
        <v>50</v>
      </c>
      <c r="R60" s="515">
        <f t="shared" si="27"/>
        <v>103</v>
      </c>
      <c r="S60" s="520">
        <f t="shared" si="28"/>
        <v>28.37837837837838</v>
      </c>
      <c r="T60" s="517">
        <f t="shared" si="4"/>
        <v>0.5967741935483871</v>
      </c>
      <c r="U60" s="518">
        <f t="shared" si="5"/>
        <v>53</v>
      </c>
      <c r="V60" s="527">
        <v>0</v>
      </c>
      <c r="W60" s="490">
        <f t="shared" si="30"/>
        <v>0</v>
      </c>
      <c r="X60" s="491">
        <f t="shared" si="6"/>
        <v>103</v>
      </c>
      <c r="Y60" s="491" t="str">
        <f t="shared" si="7"/>
        <v>Đ</v>
      </c>
      <c r="Z60" s="494">
        <f t="shared" si="8"/>
        <v>53</v>
      </c>
      <c r="AA60" s="494">
        <v>74</v>
      </c>
      <c r="AB60" s="542">
        <f t="shared" si="9"/>
        <v>-28.37837837837838</v>
      </c>
      <c r="AC60" s="499">
        <f t="shared" si="10"/>
        <v>-21</v>
      </c>
    </row>
    <row r="61" spans="1:29" ht="21.75" customHeight="1">
      <c r="A61" s="1017" t="s">
        <v>61</v>
      </c>
      <c r="B61" s="513" t="s">
        <v>472</v>
      </c>
      <c r="C61" s="514">
        <f t="shared" si="23"/>
        <v>1386</v>
      </c>
      <c r="D61" s="514">
        <f>SUM(D62:D67)</f>
        <v>1160</v>
      </c>
      <c r="E61" s="514">
        <f>SUM(E62:E67)</f>
        <v>226</v>
      </c>
      <c r="F61" s="514">
        <f>SUM(F62:F67)</f>
        <v>1</v>
      </c>
      <c r="G61" s="514">
        <f>SUM(G62:G67)</f>
        <v>0</v>
      </c>
      <c r="H61" s="514">
        <f t="shared" si="24"/>
        <v>1385</v>
      </c>
      <c r="I61" s="514">
        <f t="shared" si="25"/>
        <v>794</v>
      </c>
      <c r="J61" s="514">
        <f aca="true" t="shared" si="32" ref="J61:Q61">SUM(J62:J67)</f>
        <v>62</v>
      </c>
      <c r="K61" s="514">
        <f t="shared" si="32"/>
        <v>2</v>
      </c>
      <c r="L61" s="514">
        <f t="shared" si="32"/>
        <v>666</v>
      </c>
      <c r="M61" s="514">
        <f t="shared" si="32"/>
        <v>1</v>
      </c>
      <c r="N61" s="514">
        <f t="shared" si="32"/>
        <v>0</v>
      </c>
      <c r="O61" s="514">
        <f t="shared" si="32"/>
        <v>0</v>
      </c>
      <c r="P61" s="514">
        <f t="shared" si="32"/>
        <v>63</v>
      </c>
      <c r="Q61" s="514">
        <f t="shared" si="32"/>
        <v>591</v>
      </c>
      <c r="R61" s="515">
        <f t="shared" si="27"/>
        <v>1321</v>
      </c>
      <c r="S61" s="516">
        <f t="shared" si="28"/>
        <v>8.060453400503778</v>
      </c>
      <c r="T61" s="517">
        <f t="shared" si="4"/>
        <v>0.5732851985559567</v>
      </c>
      <c r="U61" s="518">
        <f t="shared" si="5"/>
        <v>730</v>
      </c>
      <c r="V61" s="464">
        <f>+V62+V63+V64+V65+V67</f>
        <v>0</v>
      </c>
      <c r="W61" s="490">
        <f t="shared" si="30"/>
        <v>0</v>
      </c>
      <c r="X61" s="491">
        <f t="shared" si="6"/>
        <v>1321</v>
      </c>
      <c r="Y61" s="491" t="str">
        <f t="shared" si="7"/>
        <v>Đ</v>
      </c>
      <c r="Z61" s="495">
        <f t="shared" si="8"/>
        <v>730</v>
      </c>
      <c r="AA61" s="495">
        <f>+AA62+AA63+AA64+AA65+AA67+AA66</f>
        <v>285</v>
      </c>
      <c r="AB61" s="542">
        <f t="shared" si="9"/>
        <v>156.140350877193</v>
      </c>
      <c r="AC61" s="499">
        <f t="shared" si="10"/>
        <v>445</v>
      </c>
    </row>
    <row r="62" spans="1:29" ht="21.75" customHeight="1">
      <c r="A62" s="1018" t="s">
        <v>471</v>
      </c>
      <c r="B62" s="1030" t="s">
        <v>470</v>
      </c>
      <c r="C62" s="514">
        <f t="shared" si="23"/>
        <v>96</v>
      </c>
      <c r="D62" s="1031">
        <v>79</v>
      </c>
      <c r="E62" s="1031">
        <v>17</v>
      </c>
      <c r="F62" s="1031"/>
      <c r="G62" s="1031"/>
      <c r="H62" s="514">
        <f t="shared" si="24"/>
        <v>96</v>
      </c>
      <c r="I62" s="514">
        <f t="shared" si="25"/>
        <v>72</v>
      </c>
      <c r="J62" s="1031">
        <v>12</v>
      </c>
      <c r="K62" s="1031">
        <v>0</v>
      </c>
      <c r="L62" s="1031">
        <v>60</v>
      </c>
      <c r="M62" s="1031">
        <v>0</v>
      </c>
      <c r="N62" s="1031">
        <v>0</v>
      </c>
      <c r="O62" s="1031">
        <v>0</v>
      </c>
      <c r="P62" s="1031">
        <v>0</v>
      </c>
      <c r="Q62" s="1031">
        <v>24</v>
      </c>
      <c r="R62" s="515">
        <f t="shared" si="27"/>
        <v>84</v>
      </c>
      <c r="S62" s="520">
        <f t="shared" si="28"/>
        <v>16.666666666666664</v>
      </c>
      <c r="T62" s="517">
        <f t="shared" si="4"/>
        <v>0.75</v>
      </c>
      <c r="U62" s="518">
        <f t="shared" si="5"/>
        <v>60</v>
      </c>
      <c r="V62" s="530"/>
      <c r="W62" s="490">
        <f t="shared" si="30"/>
        <v>0</v>
      </c>
      <c r="X62" s="491">
        <f t="shared" si="6"/>
        <v>84</v>
      </c>
      <c r="Y62" s="491" t="str">
        <f t="shared" si="7"/>
        <v>Đ</v>
      </c>
      <c r="Z62" s="494">
        <f>+L62+M62+N62+O62+P62</f>
        <v>60</v>
      </c>
      <c r="AA62" s="494">
        <v>34</v>
      </c>
      <c r="AB62" s="542">
        <f t="shared" si="9"/>
        <v>76.47058823529412</v>
      </c>
      <c r="AC62" s="499">
        <f t="shared" si="10"/>
        <v>26</v>
      </c>
    </row>
    <row r="63" spans="1:29" ht="21.75" customHeight="1">
      <c r="A63" s="1018" t="s">
        <v>469</v>
      </c>
      <c r="B63" s="1030" t="s">
        <v>468</v>
      </c>
      <c r="C63" s="514">
        <f t="shared" si="23"/>
        <v>236</v>
      </c>
      <c r="D63" s="1031">
        <v>192</v>
      </c>
      <c r="E63" s="1031">
        <v>44</v>
      </c>
      <c r="F63" s="1031">
        <v>1</v>
      </c>
      <c r="G63" s="1031"/>
      <c r="H63" s="514">
        <f t="shared" si="24"/>
        <v>235</v>
      </c>
      <c r="I63" s="514">
        <f t="shared" si="25"/>
        <v>173</v>
      </c>
      <c r="J63" s="1031">
        <v>14</v>
      </c>
      <c r="K63" s="1031">
        <v>0</v>
      </c>
      <c r="L63" s="1031">
        <v>159</v>
      </c>
      <c r="M63" s="1031">
        <v>0</v>
      </c>
      <c r="N63" s="1031">
        <v>0</v>
      </c>
      <c r="O63" s="1031">
        <v>0</v>
      </c>
      <c r="P63" s="1031">
        <v>0</v>
      </c>
      <c r="Q63" s="1031">
        <v>62</v>
      </c>
      <c r="R63" s="515">
        <f t="shared" si="27"/>
        <v>221</v>
      </c>
      <c r="S63" s="520">
        <f t="shared" si="28"/>
        <v>8.092485549132949</v>
      </c>
      <c r="T63" s="517">
        <f t="shared" si="4"/>
        <v>0.7361702127659574</v>
      </c>
      <c r="U63" s="518">
        <f t="shared" si="5"/>
        <v>159</v>
      </c>
      <c r="V63" s="530"/>
      <c r="W63" s="490">
        <f t="shared" si="30"/>
        <v>0</v>
      </c>
      <c r="X63" s="491">
        <f t="shared" si="6"/>
        <v>221</v>
      </c>
      <c r="Y63" s="491" t="str">
        <f t="shared" si="7"/>
        <v>Đ</v>
      </c>
      <c r="Z63" s="494">
        <f t="shared" si="8"/>
        <v>159</v>
      </c>
      <c r="AA63" s="494">
        <v>79</v>
      </c>
      <c r="AB63" s="542">
        <f t="shared" si="9"/>
        <v>101.26582278481013</v>
      </c>
      <c r="AC63" s="499">
        <f t="shared" si="10"/>
        <v>80</v>
      </c>
    </row>
    <row r="64" spans="1:29" ht="21.75" customHeight="1">
      <c r="A64" s="1018" t="s">
        <v>467</v>
      </c>
      <c r="B64" s="1030" t="s">
        <v>466</v>
      </c>
      <c r="C64" s="514">
        <f t="shared" si="23"/>
        <v>151</v>
      </c>
      <c r="D64" s="1031">
        <v>115</v>
      </c>
      <c r="E64" s="1031">
        <v>36</v>
      </c>
      <c r="F64" s="1031"/>
      <c r="G64" s="1031"/>
      <c r="H64" s="514">
        <f t="shared" si="24"/>
        <v>151</v>
      </c>
      <c r="I64" s="514">
        <f t="shared" si="25"/>
        <v>116</v>
      </c>
      <c r="J64" s="1031">
        <v>10</v>
      </c>
      <c r="K64" s="1031">
        <v>0</v>
      </c>
      <c r="L64" s="1031">
        <v>105</v>
      </c>
      <c r="M64" s="1031">
        <v>1</v>
      </c>
      <c r="N64" s="1031">
        <v>0</v>
      </c>
      <c r="O64" s="1031">
        <v>0</v>
      </c>
      <c r="P64" s="1031">
        <v>0</v>
      </c>
      <c r="Q64" s="1031">
        <v>35</v>
      </c>
      <c r="R64" s="515">
        <f t="shared" si="27"/>
        <v>141</v>
      </c>
      <c r="S64" s="520">
        <f t="shared" si="28"/>
        <v>8.620689655172415</v>
      </c>
      <c r="T64" s="517">
        <f t="shared" si="4"/>
        <v>0.7682119205298014</v>
      </c>
      <c r="U64" s="518">
        <f t="shared" si="5"/>
        <v>106</v>
      </c>
      <c r="V64" s="530"/>
      <c r="W64" s="490">
        <f t="shared" si="30"/>
        <v>0</v>
      </c>
      <c r="X64" s="491">
        <f t="shared" si="6"/>
        <v>141</v>
      </c>
      <c r="Y64" s="491" t="str">
        <f t="shared" si="7"/>
        <v>Đ</v>
      </c>
      <c r="Z64" s="494">
        <f t="shared" si="8"/>
        <v>106</v>
      </c>
      <c r="AA64" s="494">
        <v>16</v>
      </c>
      <c r="AB64" s="542">
        <f t="shared" si="9"/>
        <v>562.5</v>
      </c>
      <c r="AC64" s="499">
        <f t="shared" si="10"/>
        <v>90</v>
      </c>
    </row>
    <row r="65" spans="1:29" ht="21.75" customHeight="1">
      <c r="A65" s="1018" t="s">
        <v>465</v>
      </c>
      <c r="B65" s="1030" t="s">
        <v>564</v>
      </c>
      <c r="C65" s="514">
        <f t="shared" si="23"/>
        <v>373</v>
      </c>
      <c r="D65" s="1031">
        <v>345</v>
      </c>
      <c r="E65" s="1031">
        <v>28</v>
      </c>
      <c r="F65" s="1031"/>
      <c r="G65" s="1031"/>
      <c r="H65" s="514">
        <f t="shared" si="24"/>
        <v>373</v>
      </c>
      <c r="I65" s="514">
        <f t="shared" si="25"/>
        <v>108</v>
      </c>
      <c r="J65" s="1031">
        <v>8</v>
      </c>
      <c r="K65" s="1031">
        <v>0</v>
      </c>
      <c r="L65" s="1031">
        <v>100</v>
      </c>
      <c r="M65" s="1031">
        <v>0</v>
      </c>
      <c r="N65" s="1031"/>
      <c r="O65" s="1031"/>
      <c r="P65" s="1031"/>
      <c r="Q65" s="1031">
        <v>265</v>
      </c>
      <c r="R65" s="515">
        <f t="shared" si="27"/>
        <v>365</v>
      </c>
      <c r="S65" s="520">
        <f t="shared" si="28"/>
        <v>7.4074074074074066</v>
      </c>
      <c r="T65" s="517">
        <f t="shared" si="4"/>
        <v>0.289544235924933</v>
      </c>
      <c r="U65" s="518">
        <f t="shared" si="5"/>
        <v>100</v>
      </c>
      <c r="V65" s="530"/>
      <c r="W65" s="490">
        <f t="shared" si="30"/>
        <v>0</v>
      </c>
      <c r="X65" s="491">
        <f t="shared" si="6"/>
        <v>365</v>
      </c>
      <c r="Y65" s="491" t="str">
        <f t="shared" si="7"/>
        <v>Đ</v>
      </c>
      <c r="Z65" s="546">
        <f t="shared" si="8"/>
        <v>100</v>
      </c>
      <c r="AA65" s="546"/>
      <c r="AB65" s="542" t="e">
        <f t="shared" si="9"/>
        <v>#DIV/0!</v>
      </c>
      <c r="AC65" s="499">
        <f t="shared" si="10"/>
        <v>100</v>
      </c>
    </row>
    <row r="66" spans="1:29" ht="21.75" customHeight="1">
      <c r="A66" s="1018" t="s">
        <v>463</v>
      </c>
      <c r="B66" s="1030" t="s">
        <v>464</v>
      </c>
      <c r="C66" s="514">
        <f t="shared" si="23"/>
        <v>381</v>
      </c>
      <c r="D66" s="1031">
        <v>313</v>
      </c>
      <c r="E66" s="1031">
        <v>68</v>
      </c>
      <c r="F66" s="1031"/>
      <c r="G66" s="1031"/>
      <c r="H66" s="514">
        <f t="shared" si="24"/>
        <v>381</v>
      </c>
      <c r="I66" s="514">
        <f t="shared" si="25"/>
        <v>194</v>
      </c>
      <c r="J66" s="1031">
        <v>5</v>
      </c>
      <c r="K66" s="1031">
        <v>0</v>
      </c>
      <c r="L66" s="1031">
        <v>126</v>
      </c>
      <c r="M66" s="1031">
        <v>0</v>
      </c>
      <c r="N66" s="1031">
        <v>0</v>
      </c>
      <c r="O66" s="1031">
        <v>0</v>
      </c>
      <c r="P66" s="1031">
        <v>63</v>
      </c>
      <c r="Q66" s="1031">
        <v>187</v>
      </c>
      <c r="R66" s="515">
        <f t="shared" si="27"/>
        <v>376</v>
      </c>
      <c r="S66" s="520">
        <f t="shared" si="28"/>
        <v>2.5773195876288657</v>
      </c>
      <c r="T66" s="517">
        <f t="shared" si="4"/>
        <v>0.5091863517060368</v>
      </c>
      <c r="U66" s="518">
        <f t="shared" si="5"/>
        <v>189</v>
      </c>
      <c r="V66" s="530"/>
      <c r="W66" s="490">
        <f t="shared" si="30"/>
        <v>0</v>
      </c>
      <c r="X66" s="491">
        <f t="shared" si="6"/>
        <v>376</v>
      </c>
      <c r="Y66" s="491" t="str">
        <f t="shared" si="7"/>
        <v>Đ</v>
      </c>
      <c r="Z66" s="494">
        <f t="shared" si="8"/>
        <v>189</v>
      </c>
      <c r="AA66" s="494">
        <v>88</v>
      </c>
      <c r="AB66" s="542">
        <f t="shared" si="9"/>
        <v>114.77272727272727</v>
      </c>
      <c r="AC66" s="499"/>
    </row>
    <row r="67" spans="1:29" ht="21.75" customHeight="1">
      <c r="A67" s="1018" t="s">
        <v>563</v>
      </c>
      <c r="B67" s="1030" t="s">
        <v>536</v>
      </c>
      <c r="C67" s="514">
        <f t="shared" si="23"/>
        <v>149</v>
      </c>
      <c r="D67" s="1031">
        <v>116</v>
      </c>
      <c r="E67" s="1031">
        <v>33</v>
      </c>
      <c r="F67" s="1031"/>
      <c r="G67" s="1031"/>
      <c r="H67" s="514">
        <f t="shared" si="24"/>
        <v>149</v>
      </c>
      <c r="I67" s="514">
        <f t="shared" si="25"/>
        <v>131</v>
      </c>
      <c r="J67" s="1031">
        <v>13</v>
      </c>
      <c r="K67" s="1031">
        <v>2</v>
      </c>
      <c r="L67" s="1031">
        <v>116</v>
      </c>
      <c r="M67" s="1031">
        <v>0</v>
      </c>
      <c r="N67" s="1031">
        <v>0</v>
      </c>
      <c r="O67" s="1031">
        <v>0</v>
      </c>
      <c r="P67" s="1031">
        <v>0</v>
      </c>
      <c r="Q67" s="1031">
        <v>18</v>
      </c>
      <c r="R67" s="515">
        <f t="shared" si="27"/>
        <v>134</v>
      </c>
      <c r="S67" s="520">
        <f t="shared" si="28"/>
        <v>11.450381679389313</v>
      </c>
      <c r="T67" s="517">
        <f t="shared" si="4"/>
        <v>0.8791946308724832</v>
      </c>
      <c r="U67" s="518">
        <f t="shared" si="5"/>
        <v>116</v>
      </c>
      <c r="V67" s="530"/>
      <c r="W67" s="490">
        <f t="shared" si="30"/>
        <v>0</v>
      </c>
      <c r="X67" s="491">
        <f t="shared" si="6"/>
        <v>134</v>
      </c>
      <c r="Y67" s="491" t="str">
        <f t="shared" si="7"/>
        <v>Đ</v>
      </c>
      <c r="Z67" s="546">
        <f t="shared" si="8"/>
        <v>116</v>
      </c>
      <c r="AA67" s="546">
        <v>68</v>
      </c>
      <c r="AB67" s="542">
        <f t="shared" si="9"/>
        <v>70.58823529411765</v>
      </c>
      <c r="AC67" s="499">
        <f t="shared" si="10"/>
        <v>48</v>
      </c>
    </row>
    <row r="68" spans="1:29" ht="21.75" customHeight="1">
      <c r="A68" s="1017" t="s">
        <v>62</v>
      </c>
      <c r="B68" s="513" t="s">
        <v>462</v>
      </c>
      <c r="C68" s="514">
        <f aca="true" t="shared" si="33" ref="C68:R68">+C69+C70+C71+C72+C73</f>
        <v>1426</v>
      </c>
      <c r="D68" s="514">
        <f t="shared" si="33"/>
        <v>1390</v>
      </c>
      <c r="E68" s="514">
        <f t="shared" si="33"/>
        <v>36</v>
      </c>
      <c r="F68" s="514">
        <f t="shared" si="33"/>
        <v>0</v>
      </c>
      <c r="G68" s="514">
        <f t="shared" si="33"/>
        <v>0</v>
      </c>
      <c r="H68" s="514">
        <f t="shared" si="33"/>
        <v>1426</v>
      </c>
      <c r="I68" s="514">
        <f t="shared" si="33"/>
        <v>799</v>
      </c>
      <c r="J68" s="514">
        <f t="shared" si="33"/>
        <v>16</v>
      </c>
      <c r="K68" s="514">
        <f t="shared" si="33"/>
        <v>13</v>
      </c>
      <c r="L68" s="514">
        <f t="shared" si="33"/>
        <v>769</v>
      </c>
      <c r="M68" s="514">
        <f t="shared" si="33"/>
        <v>0</v>
      </c>
      <c r="N68" s="514">
        <f t="shared" si="33"/>
        <v>1</v>
      </c>
      <c r="O68" s="514">
        <f t="shared" si="33"/>
        <v>0</v>
      </c>
      <c r="P68" s="514">
        <f t="shared" si="33"/>
        <v>0</v>
      </c>
      <c r="Q68" s="514">
        <f t="shared" si="33"/>
        <v>627</v>
      </c>
      <c r="R68" s="514">
        <f t="shared" si="33"/>
        <v>1397</v>
      </c>
      <c r="S68" s="516">
        <f t="shared" si="28"/>
        <v>3.629536921151439</v>
      </c>
      <c r="T68" s="517">
        <f t="shared" si="4"/>
        <v>0.5603085553997195</v>
      </c>
      <c r="U68" s="518">
        <f t="shared" si="5"/>
        <v>770</v>
      </c>
      <c r="V68" s="464"/>
      <c r="W68" s="490">
        <f t="shared" si="30"/>
        <v>0</v>
      </c>
      <c r="X68" s="491">
        <f t="shared" si="6"/>
        <v>1397</v>
      </c>
      <c r="Y68" s="491" t="str">
        <f t="shared" si="7"/>
        <v>Đ</v>
      </c>
      <c r="Z68" s="495">
        <f t="shared" si="8"/>
        <v>770</v>
      </c>
      <c r="AA68" s="495" t="e">
        <f>+#REF!+AA69+AA70+AA72+AA73</f>
        <v>#REF!</v>
      </c>
      <c r="AB68" s="542" t="e">
        <f t="shared" si="9"/>
        <v>#REF!</v>
      </c>
      <c r="AC68" s="499" t="e">
        <f t="shared" si="10"/>
        <v>#REF!</v>
      </c>
    </row>
    <row r="69" spans="1:29" ht="21.75" customHeight="1">
      <c r="A69" s="1018" t="s">
        <v>461</v>
      </c>
      <c r="B69" s="1032" t="s">
        <v>568</v>
      </c>
      <c r="C69" s="514">
        <f t="shared" si="23"/>
        <v>48</v>
      </c>
      <c r="D69" s="583">
        <v>45</v>
      </c>
      <c r="E69" s="583">
        <v>3</v>
      </c>
      <c r="F69" s="583"/>
      <c r="G69" s="536"/>
      <c r="H69" s="514">
        <f t="shared" si="24"/>
        <v>48</v>
      </c>
      <c r="I69" s="514">
        <f t="shared" si="25"/>
        <v>33</v>
      </c>
      <c r="J69" s="583">
        <v>0</v>
      </c>
      <c r="K69" s="583">
        <v>0</v>
      </c>
      <c r="L69" s="583">
        <v>33</v>
      </c>
      <c r="M69" s="583"/>
      <c r="N69" s="583">
        <v>0</v>
      </c>
      <c r="O69" s="583"/>
      <c r="P69" s="583"/>
      <c r="Q69" s="583">
        <v>15</v>
      </c>
      <c r="R69" s="515">
        <f>+Q69+P69+O69+M69+L69</f>
        <v>48</v>
      </c>
      <c r="S69" s="520">
        <f t="shared" si="28"/>
        <v>0</v>
      </c>
      <c r="T69" s="517">
        <f t="shared" si="4"/>
        <v>0.6875</v>
      </c>
      <c r="U69" s="518">
        <f t="shared" si="5"/>
        <v>33</v>
      </c>
      <c r="V69" s="532"/>
      <c r="W69" s="490">
        <f t="shared" si="30"/>
        <v>0</v>
      </c>
      <c r="X69" s="491">
        <f t="shared" si="6"/>
        <v>48</v>
      </c>
      <c r="Y69" s="491" t="str">
        <f t="shared" si="7"/>
        <v>Đ</v>
      </c>
      <c r="Z69" s="494">
        <f t="shared" si="8"/>
        <v>33</v>
      </c>
      <c r="AA69" s="494">
        <v>75</v>
      </c>
      <c r="AB69" s="542">
        <f t="shared" si="9"/>
        <v>-56.00000000000001</v>
      </c>
      <c r="AC69" s="499">
        <f t="shared" si="10"/>
        <v>-42</v>
      </c>
    </row>
    <row r="70" spans="1:29" ht="21.75" customHeight="1">
      <c r="A70" s="1018" t="s">
        <v>460</v>
      </c>
      <c r="B70" s="1033" t="s">
        <v>552</v>
      </c>
      <c r="C70" s="514">
        <f t="shared" si="23"/>
        <v>241</v>
      </c>
      <c r="D70" s="583">
        <v>224</v>
      </c>
      <c r="E70" s="583">
        <v>17</v>
      </c>
      <c r="F70" s="583"/>
      <c r="G70" s="536"/>
      <c r="H70" s="514">
        <f t="shared" si="24"/>
        <v>241</v>
      </c>
      <c r="I70" s="514">
        <f t="shared" si="25"/>
        <v>178</v>
      </c>
      <c r="J70" s="583">
        <v>7</v>
      </c>
      <c r="K70" s="583">
        <v>0</v>
      </c>
      <c r="L70" s="583">
        <v>171</v>
      </c>
      <c r="M70" s="583"/>
      <c r="N70" s="583"/>
      <c r="O70" s="583"/>
      <c r="P70" s="583"/>
      <c r="Q70" s="583">
        <v>63</v>
      </c>
      <c r="R70" s="515">
        <f>+Q70+P70+O70+M70+L70</f>
        <v>234</v>
      </c>
      <c r="S70" s="520">
        <f t="shared" si="28"/>
        <v>3.932584269662921</v>
      </c>
      <c r="T70" s="517">
        <f t="shared" si="4"/>
        <v>0.7385892116182573</v>
      </c>
      <c r="U70" s="518">
        <f t="shared" si="5"/>
        <v>171</v>
      </c>
      <c r="V70" s="532"/>
      <c r="W70" s="490">
        <f t="shared" si="30"/>
        <v>0</v>
      </c>
      <c r="X70" s="491">
        <f t="shared" si="6"/>
        <v>234</v>
      </c>
      <c r="Y70" s="491" t="str">
        <f t="shared" si="7"/>
        <v>Đ</v>
      </c>
      <c r="Z70" s="494">
        <f t="shared" si="8"/>
        <v>171</v>
      </c>
      <c r="AA70" s="494">
        <v>91</v>
      </c>
      <c r="AB70" s="542">
        <f t="shared" si="9"/>
        <v>87.91208791208791</v>
      </c>
      <c r="AC70" s="499">
        <f t="shared" si="10"/>
        <v>80</v>
      </c>
    </row>
    <row r="71" spans="1:29" ht="21.75" customHeight="1">
      <c r="A71" s="1018" t="s">
        <v>459</v>
      </c>
      <c r="B71" s="1032" t="s">
        <v>554</v>
      </c>
      <c r="C71" s="514">
        <f t="shared" si="23"/>
        <v>204</v>
      </c>
      <c r="D71" s="583">
        <v>199</v>
      </c>
      <c r="E71" s="583">
        <v>5</v>
      </c>
      <c r="F71" s="583"/>
      <c r="G71" s="536"/>
      <c r="H71" s="514">
        <f t="shared" si="24"/>
        <v>204</v>
      </c>
      <c r="I71" s="514">
        <f t="shared" si="25"/>
        <v>165</v>
      </c>
      <c r="J71" s="583">
        <v>3</v>
      </c>
      <c r="K71" s="583">
        <v>2</v>
      </c>
      <c r="L71" s="583">
        <v>160</v>
      </c>
      <c r="M71" s="583"/>
      <c r="N71" s="583"/>
      <c r="O71" s="583"/>
      <c r="P71" s="583"/>
      <c r="Q71" s="583">
        <v>39</v>
      </c>
      <c r="R71" s="515">
        <f>+Q71+P71+O71+M71+L71</f>
        <v>199</v>
      </c>
      <c r="S71" s="520">
        <f t="shared" si="28"/>
        <v>3.0303030303030303</v>
      </c>
      <c r="T71" s="517">
        <f t="shared" si="4"/>
        <v>0.8088235294117647</v>
      </c>
      <c r="U71" s="518">
        <f t="shared" si="5"/>
        <v>160</v>
      </c>
      <c r="V71" s="532"/>
      <c r="W71" s="490">
        <f t="shared" si="30"/>
        <v>0</v>
      </c>
      <c r="X71" s="491">
        <f t="shared" si="6"/>
        <v>199</v>
      </c>
      <c r="Y71" s="491" t="str">
        <f t="shared" si="7"/>
        <v>Đ</v>
      </c>
      <c r="Z71" s="494"/>
      <c r="AA71" s="494"/>
      <c r="AB71" s="542"/>
      <c r="AC71" s="499"/>
    </row>
    <row r="72" spans="1:29" ht="21.75" customHeight="1">
      <c r="A72" s="1018" t="s">
        <v>458</v>
      </c>
      <c r="B72" s="1033" t="s">
        <v>553</v>
      </c>
      <c r="C72" s="514">
        <f t="shared" si="23"/>
        <v>715</v>
      </c>
      <c r="D72" s="583">
        <v>709</v>
      </c>
      <c r="E72" s="583">
        <v>6</v>
      </c>
      <c r="F72" s="583"/>
      <c r="G72" s="536"/>
      <c r="H72" s="514">
        <f t="shared" si="24"/>
        <v>715</v>
      </c>
      <c r="I72" s="514">
        <f t="shared" si="25"/>
        <v>326</v>
      </c>
      <c r="J72" s="584">
        <v>4</v>
      </c>
      <c r="K72" s="584">
        <v>11</v>
      </c>
      <c r="L72" s="584">
        <v>311</v>
      </c>
      <c r="M72" s="584"/>
      <c r="N72" s="584"/>
      <c r="O72" s="584"/>
      <c r="P72" s="584"/>
      <c r="Q72" s="584">
        <v>389</v>
      </c>
      <c r="R72" s="515">
        <f>+Q72+P72+O72+M72+L72</f>
        <v>700</v>
      </c>
      <c r="S72" s="520">
        <f t="shared" si="28"/>
        <v>4.601226993865031</v>
      </c>
      <c r="T72" s="517">
        <f t="shared" si="4"/>
        <v>0.45594405594405596</v>
      </c>
      <c r="U72" s="518">
        <f t="shared" si="5"/>
        <v>311</v>
      </c>
      <c r="V72" s="532"/>
      <c r="W72" s="490">
        <f t="shared" si="30"/>
        <v>0</v>
      </c>
      <c r="X72" s="491">
        <f t="shared" si="6"/>
        <v>700</v>
      </c>
      <c r="Y72" s="491" t="str">
        <f t="shared" si="7"/>
        <v>Đ</v>
      </c>
      <c r="Z72" s="494">
        <f t="shared" si="8"/>
        <v>311</v>
      </c>
      <c r="AA72" s="494">
        <v>68</v>
      </c>
      <c r="AB72" s="542">
        <f t="shared" si="9"/>
        <v>357.3529411764706</v>
      </c>
      <c r="AC72" s="499">
        <f t="shared" si="10"/>
        <v>243</v>
      </c>
    </row>
    <row r="73" spans="1:29" ht="21.75" customHeight="1">
      <c r="A73" s="1018" t="s">
        <v>456</v>
      </c>
      <c r="B73" s="1034" t="s">
        <v>556</v>
      </c>
      <c r="C73" s="514">
        <f t="shared" si="23"/>
        <v>218</v>
      </c>
      <c r="D73" s="583">
        <v>213</v>
      </c>
      <c r="E73" s="583">
        <v>5</v>
      </c>
      <c r="F73" s="583"/>
      <c r="G73" s="536"/>
      <c r="H73" s="514">
        <f>+I73+Q73</f>
        <v>218</v>
      </c>
      <c r="I73" s="514">
        <f>+J73+K73+L73+M73+N73+O73+P73</f>
        <v>97</v>
      </c>
      <c r="J73" s="583">
        <v>2</v>
      </c>
      <c r="K73" s="583">
        <v>0</v>
      </c>
      <c r="L73" s="583">
        <v>94</v>
      </c>
      <c r="M73" s="530"/>
      <c r="N73" s="583">
        <v>1</v>
      </c>
      <c r="O73" s="530"/>
      <c r="P73" s="530"/>
      <c r="Q73" s="583">
        <v>121</v>
      </c>
      <c r="R73" s="515">
        <f>+Q73+P73+O73+N73+M73+L73</f>
        <v>216</v>
      </c>
      <c r="S73" s="520">
        <f t="shared" si="28"/>
        <v>2.0618556701030926</v>
      </c>
      <c r="T73" s="517">
        <f t="shared" si="4"/>
        <v>0.44495412844036697</v>
      </c>
      <c r="U73" s="518">
        <f t="shared" si="5"/>
        <v>95</v>
      </c>
      <c r="V73" s="532"/>
      <c r="W73" s="490">
        <f t="shared" si="30"/>
        <v>0</v>
      </c>
      <c r="X73" s="491">
        <f>+L73+M73+N73+O73+P73+Q73</f>
        <v>216</v>
      </c>
      <c r="Y73" s="491" t="str">
        <f t="shared" si="7"/>
        <v>Đ</v>
      </c>
      <c r="Z73" s="494">
        <f t="shared" si="8"/>
        <v>95</v>
      </c>
      <c r="AA73" s="494">
        <v>113</v>
      </c>
      <c r="AB73" s="542">
        <f t="shared" si="9"/>
        <v>-15.929203539823009</v>
      </c>
      <c r="AC73" s="499">
        <f t="shared" si="10"/>
        <v>-18</v>
      </c>
    </row>
    <row r="74" spans="1:29" ht="21.75" customHeight="1">
      <c r="A74" s="1017" t="s">
        <v>63</v>
      </c>
      <c r="B74" s="513" t="s">
        <v>455</v>
      </c>
      <c r="C74" s="514">
        <f t="shared" si="23"/>
        <v>735</v>
      </c>
      <c r="D74" s="514">
        <f>SUM(D75:D79)</f>
        <v>613</v>
      </c>
      <c r="E74" s="514">
        <f>SUM(E75:E79)</f>
        <v>122</v>
      </c>
      <c r="F74" s="514">
        <f>SUM(F75:F79)</f>
        <v>0</v>
      </c>
      <c r="G74" s="514">
        <f>SUM(G75:G79)</f>
        <v>0</v>
      </c>
      <c r="H74" s="514">
        <f aca="true" t="shared" si="34" ref="H74:H79">I74+Q74</f>
        <v>735</v>
      </c>
      <c r="I74" s="514">
        <f aca="true" t="shared" si="35" ref="I74:Q74">SUM(I75:I79)</f>
        <v>393</v>
      </c>
      <c r="J74" s="514">
        <f t="shared" si="35"/>
        <v>44</v>
      </c>
      <c r="K74" s="514">
        <f t="shared" si="35"/>
        <v>1</v>
      </c>
      <c r="L74" s="514">
        <f t="shared" si="35"/>
        <v>346</v>
      </c>
      <c r="M74" s="514">
        <f t="shared" si="35"/>
        <v>2</v>
      </c>
      <c r="N74" s="514">
        <f t="shared" si="35"/>
        <v>0</v>
      </c>
      <c r="O74" s="514">
        <f t="shared" si="35"/>
        <v>0</v>
      </c>
      <c r="P74" s="514">
        <f t="shared" si="35"/>
        <v>0</v>
      </c>
      <c r="Q74" s="514">
        <f t="shared" si="35"/>
        <v>342</v>
      </c>
      <c r="R74" s="515">
        <f t="shared" si="27"/>
        <v>690</v>
      </c>
      <c r="S74" s="516">
        <f t="shared" si="28"/>
        <v>11.450381679389313</v>
      </c>
      <c r="T74" s="517">
        <f t="shared" si="4"/>
        <v>0.5346938775510204</v>
      </c>
      <c r="U74" s="518">
        <f t="shared" si="5"/>
        <v>348</v>
      </c>
      <c r="V74" s="514">
        <f>SUM(V75:V79)</f>
        <v>0</v>
      </c>
      <c r="W74" s="490">
        <f t="shared" si="30"/>
        <v>0</v>
      </c>
      <c r="X74" s="491">
        <f t="shared" si="6"/>
        <v>690</v>
      </c>
      <c r="Y74" s="491" t="str">
        <f t="shared" si="7"/>
        <v>Đ</v>
      </c>
      <c r="Z74" s="495">
        <f t="shared" si="8"/>
        <v>348</v>
      </c>
      <c r="AA74" s="495">
        <f>+AA75+AA76+AA78+AA79</f>
        <v>296</v>
      </c>
      <c r="AB74" s="542">
        <f t="shared" si="9"/>
        <v>17.56756756756757</v>
      </c>
      <c r="AC74" s="499">
        <f t="shared" si="10"/>
        <v>52</v>
      </c>
    </row>
    <row r="75" spans="1:29" ht="21.75" customHeight="1">
      <c r="A75" s="1018" t="s">
        <v>454</v>
      </c>
      <c r="B75" s="437" t="s">
        <v>453</v>
      </c>
      <c r="C75" s="514">
        <f t="shared" si="23"/>
        <v>55</v>
      </c>
      <c r="D75" s="558">
        <v>54</v>
      </c>
      <c r="E75" s="510">
        <v>1</v>
      </c>
      <c r="F75" s="510">
        <v>0</v>
      </c>
      <c r="G75" s="519"/>
      <c r="H75" s="514">
        <f t="shared" si="34"/>
        <v>55</v>
      </c>
      <c r="I75" s="514">
        <f>SUM(J75:P75)</f>
        <v>16</v>
      </c>
      <c r="J75" s="510">
        <v>3</v>
      </c>
      <c r="K75" s="510">
        <v>0</v>
      </c>
      <c r="L75" s="510">
        <v>13</v>
      </c>
      <c r="M75" s="510">
        <v>0</v>
      </c>
      <c r="N75" s="510"/>
      <c r="O75" s="510"/>
      <c r="P75" s="511">
        <v>0</v>
      </c>
      <c r="Q75" s="512">
        <v>39</v>
      </c>
      <c r="R75" s="515">
        <f t="shared" si="27"/>
        <v>52</v>
      </c>
      <c r="S75" s="520">
        <f t="shared" si="28"/>
        <v>18.75</v>
      </c>
      <c r="T75" s="517">
        <f t="shared" si="4"/>
        <v>0.2909090909090909</v>
      </c>
      <c r="U75" s="518">
        <f t="shared" si="5"/>
        <v>13</v>
      </c>
      <c r="V75" s="518"/>
      <c r="W75" s="490">
        <f t="shared" si="30"/>
        <v>0</v>
      </c>
      <c r="X75" s="491">
        <f t="shared" si="6"/>
        <v>52</v>
      </c>
      <c r="Y75" s="491" t="str">
        <f t="shared" si="7"/>
        <v>Đ</v>
      </c>
      <c r="Z75" s="494">
        <f t="shared" si="8"/>
        <v>13</v>
      </c>
      <c r="AA75" s="494">
        <v>29</v>
      </c>
      <c r="AB75" s="542">
        <f t="shared" si="9"/>
        <v>-55.172413793103445</v>
      </c>
      <c r="AC75" s="499">
        <f t="shared" si="10"/>
        <v>-16</v>
      </c>
    </row>
    <row r="76" spans="1:29" ht="21.75" customHeight="1">
      <c r="A76" s="1018" t="s">
        <v>452</v>
      </c>
      <c r="B76" s="437" t="s">
        <v>451</v>
      </c>
      <c r="C76" s="514">
        <f t="shared" si="23"/>
        <v>194</v>
      </c>
      <c r="D76" s="558">
        <v>164</v>
      </c>
      <c r="E76" s="510">
        <v>30</v>
      </c>
      <c r="F76" s="510">
        <v>0</v>
      </c>
      <c r="G76" s="519"/>
      <c r="H76" s="514">
        <f t="shared" si="34"/>
        <v>194</v>
      </c>
      <c r="I76" s="514">
        <f>SUM(J76:P76)</f>
        <v>100</v>
      </c>
      <c r="J76" s="510">
        <v>12</v>
      </c>
      <c r="K76" s="510">
        <v>0</v>
      </c>
      <c r="L76" s="510">
        <v>86</v>
      </c>
      <c r="M76" s="510">
        <v>2</v>
      </c>
      <c r="N76" s="510"/>
      <c r="O76" s="510"/>
      <c r="P76" s="511"/>
      <c r="Q76" s="512">
        <v>94</v>
      </c>
      <c r="R76" s="515">
        <f t="shared" si="27"/>
        <v>182</v>
      </c>
      <c r="S76" s="520">
        <f t="shared" si="28"/>
        <v>12</v>
      </c>
      <c r="T76" s="517">
        <f t="shared" si="4"/>
        <v>0.5154639175257731</v>
      </c>
      <c r="U76" s="518">
        <f t="shared" si="5"/>
        <v>88</v>
      </c>
      <c r="V76" s="518"/>
      <c r="W76" s="490">
        <f t="shared" si="30"/>
        <v>0</v>
      </c>
      <c r="X76" s="491">
        <f t="shared" si="6"/>
        <v>182</v>
      </c>
      <c r="Y76" s="491" t="str">
        <f t="shared" si="7"/>
        <v>Đ</v>
      </c>
      <c r="Z76" s="494">
        <f t="shared" si="8"/>
        <v>88</v>
      </c>
      <c r="AA76" s="494">
        <v>49</v>
      </c>
      <c r="AB76" s="542">
        <f t="shared" si="9"/>
        <v>79.59183673469387</v>
      </c>
      <c r="AC76" s="499">
        <f t="shared" si="10"/>
        <v>39</v>
      </c>
    </row>
    <row r="77" spans="1:29" ht="21.75" customHeight="1">
      <c r="A77" s="1018" t="s">
        <v>450</v>
      </c>
      <c r="B77" s="437" t="s">
        <v>558</v>
      </c>
      <c r="C77" s="514">
        <f t="shared" si="23"/>
        <v>192</v>
      </c>
      <c r="D77" s="558">
        <v>151</v>
      </c>
      <c r="E77" s="510">
        <v>41</v>
      </c>
      <c r="F77" s="510">
        <v>0</v>
      </c>
      <c r="G77" s="519"/>
      <c r="H77" s="514">
        <f t="shared" si="34"/>
        <v>192</v>
      </c>
      <c r="I77" s="514">
        <f>SUM(J77:P77)</f>
        <v>116</v>
      </c>
      <c r="J77" s="510">
        <v>21</v>
      </c>
      <c r="K77" s="510">
        <v>1</v>
      </c>
      <c r="L77" s="510">
        <v>94</v>
      </c>
      <c r="M77" s="510">
        <v>0</v>
      </c>
      <c r="N77" s="510"/>
      <c r="O77" s="510"/>
      <c r="P77" s="511">
        <v>0</v>
      </c>
      <c r="Q77" s="512">
        <v>76</v>
      </c>
      <c r="R77" s="515">
        <f t="shared" si="27"/>
        <v>170</v>
      </c>
      <c r="S77" s="520">
        <f t="shared" si="28"/>
        <v>18.96551724137931</v>
      </c>
      <c r="T77" s="517">
        <f t="shared" si="4"/>
        <v>0.6041666666666666</v>
      </c>
      <c r="U77" s="518">
        <f t="shared" si="5"/>
        <v>94</v>
      </c>
      <c r="V77" s="518"/>
      <c r="W77" s="490">
        <f t="shared" si="30"/>
        <v>0</v>
      </c>
      <c r="X77" s="491">
        <f t="shared" si="6"/>
        <v>170</v>
      </c>
      <c r="Y77" s="491" t="str">
        <f t="shared" si="7"/>
        <v>Đ</v>
      </c>
      <c r="Z77" s="494">
        <f t="shared" si="8"/>
        <v>94</v>
      </c>
      <c r="AA77" s="494"/>
      <c r="AB77" s="542"/>
      <c r="AC77" s="499"/>
    </row>
    <row r="78" spans="1:29" ht="21.75" customHeight="1">
      <c r="A78" s="1018" t="s">
        <v>449</v>
      </c>
      <c r="B78" s="437" t="s">
        <v>448</v>
      </c>
      <c r="C78" s="514">
        <f t="shared" si="23"/>
        <v>168</v>
      </c>
      <c r="D78" s="558">
        <v>135</v>
      </c>
      <c r="E78" s="510">
        <v>33</v>
      </c>
      <c r="F78" s="510">
        <v>0</v>
      </c>
      <c r="G78" s="557"/>
      <c r="H78" s="514">
        <f t="shared" si="34"/>
        <v>168</v>
      </c>
      <c r="I78" s="514">
        <f>SUM(J78:P78)</f>
        <v>93</v>
      </c>
      <c r="J78" s="510">
        <v>4</v>
      </c>
      <c r="K78" s="557"/>
      <c r="L78" s="510">
        <v>89</v>
      </c>
      <c r="M78" s="557"/>
      <c r="N78" s="557"/>
      <c r="O78" s="557"/>
      <c r="P78" s="557"/>
      <c r="Q78" s="512">
        <v>75</v>
      </c>
      <c r="R78" s="515">
        <f t="shared" si="27"/>
        <v>164</v>
      </c>
      <c r="S78" s="520">
        <f t="shared" si="28"/>
        <v>4.301075268817205</v>
      </c>
      <c r="T78" s="517">
        <f t="shared" si="4"/>
        <v>0.5535714285714286</v>
      </c>
      <c r="U78" s="518">
        <f t="shared" si="5"/>
        <v>89</v>
      </c>
      <c r="V78" s="518"/>
      <c r="W78" s="490">
        <f t="shared" si="30"/>
        <v>0</v>
      </c>
      <c r="X78" s="491">
        <f t="shared" si="6"/>
        <v>164</v>
      </c>
      <c r="Y78" s="491" t="str">
        <f t="shared" si="7"/>
        <v>Đ</v>
      </c>
      <c r="Z78" s="494">
        <f t="shared" si="8"/>
        <v>89</v>
      </c>
      <c r="AA78" s="494">
        <v>106</v>
      </c>
      <c r="AB78" s="542">
        <f t="shared" si="9"/>
        <v>-16.037735849056602</v>
      </c>
      <c r="AC78" s="499">
        <f t="shared" si="10"/>
        <v>-17</v>
      </c>
    </row>
    <row r="79" spans="1:29" ht="21.75" customHeight="1">
      <c r="A79" s="1018" t="s">
        <v>557</v>
      </c>
      <c r="B79" s="509" t="s">
        <v>535</v>
      </c>
      <c r="C79" s="514">
        <f t="shared" si="23"/>
        <v>126</v>
      </c>
      <c r="D79" s="558">
        <v>109</v>
      </c>
      <c r="E79" s="510">
        <v>17</v>
      </c>
      <c r="F79" s="510">
        <v>0</v>
      </c>
      <c r="G79" s="519"/>
      <c r="H79" s="514">
        <f t="shared" si="34"/>
        <v>126</v>
      </c>
      <c r="I79" s="514">
        <f>SUM(J79:P79)</f>
        <v>68</v>
      </c>
      <c r="J79" s="510">
        <v>4</v>
      </c>
      <c r="K79" s="510">
        <v>0</v>
      </c>
      <c r="L79" s="510">
        <v>64</v>
      </c>
      <c r="M79" s="510"/>
      <c r="N79" s="510">
        <v>0</v>
      </c>
      <c r="O79" s="510"/>
      <c r="P79" s="511">
        <v>0</v>
      </c>
      <c r="Q79" s="512">
        <v>58</v>
      </c>
      <c r="R79" s="515">
        <f t="shared" si="27"/>
        <v>122</v>
      </c>
      <c r="S79" s="520">
        <f t="shared" si="28"/>
        <v>5.88235294117647</v>
      </c>
      <c r="T79" s="517">
        <f t="shared" si="4"/>
        <v>0.5396825396825397</v>
      </c>
      <c r="U79" s="518">
        <f t="shared" si="5"/>
        <v>64</v>
      </c>
      <c r="V79" s="518"/>
      <c r="W79" s="490">
        <f t="shared" si="30"/>
        <v>0</v>
      </c>
      <c r="X79" s="491">
        <f t="shared" si="6"/>
        <v>122</v>
      </c>
      <c r="Y79" s="491" t="str">
        <f t="shared" si="7"/>
        <v>Đ</v>
      </c>
      <c r="Z79" s="494">
        <f t="shared" si="8"/>
        <v>64</v>
      </c>
      <c r="AA79" s="494">
        <v>112</v>
      </c>
      <c r="AB79" s="542">
        <f t="shared" si="9"/>
        <v>-42.857142857142854</v>
      </c>
      <c r="AC79" s="499">
        <f t="shared" si="10"/>
        <v>-48</v>
      </c>
    </row>
    <row r="80" spans="1:25" s="403" customFormat="1" ht="29.25" customHeight="1">
      <c r="A80" s="981"/>
      <c r="B80" s="981"/>
      <c r="C80" s="981"/>
      <c r="D80" s="981"/>
      <c r="E80" s="981"/>
      <c r="F80" s="446"/>
      <c r="G80" s="390"/>
      <c r="H80" s="446"/>
      <c r="I80" s="390"/>
      <c r="J80" s="390"/>
      <c r="K80" s="390"/>
      <c r="L80" s="390"/>
      <c r="M80" s="390"/>
      <c r="N80" s="979" t="str">
        <f>'Thong tin'!B8</f>
        <v>Trà Vinh, ngày 04 tháng11 năm 2019</v>
      </c>
      <c r="O80" s="979"/>
      <c r="P80" s="979"/>
      <c r="Q80" s="979"/>
      <c r="R80" s="979"/>
      <c r="S80" s="979"/>
      <c r="T80" s="452"/>
      <c r="U80" s="452"/>
      <c r="V80" s="452"/>
      <c r="Y80" s="487"/>
    </row>
    <row r="81" spans="1:25" s="400" customFormat="1" ht="19.5" customHeight="1">
      <c r="A81" s="402"/>
      <c r="B81" s="980" t="s">
        <v>4</v>
      </c>
      <c r="C81" s="980"/>
      <c r="D81" s="980"/>
      <c r="E81" s="980"/>
      <c r="F81" s="401"/>
      <c r="G81" s="401"/>
      <c r="H81" s="401"/>
      <c r="I81" s="401"/>
      <c r="J81" s="401"/>
      <c r="K81" s="401"/>
      <c r="L81" s="401"/>
      <c r="M81" s="401"/>
      <c r="N81" s="974" t="str">
        <f>'Thong tin'!B7</f>
        <v>PHÓ CỤC TRƯỞNG</v>
      </c>
      <c r="O81" s="974"/>
      <c r="P81" s="974"/>
      <c r="Q81" s="974"/>
      <c r="R81" s="974"/>
      <c r="S81" s="974"/>
      <c r="T81" s="451"/>
      <c r="U81" s="451"/>
      <c r="V81" s="451"/>
      <c r="Y81" s="487"/>
    </row>
    <row r="82" spans="1:25" ht="18.75">
      <c r="A82" s="387"/>
      <c r="B82" s="389"/>
      <c r="C82" s="439"/>
      <c r="D82" s="439"/>
      <c r="E82" s="441"/>
      <c r="F82" s="441"/>
      <c r="G82" s="441"/>
      <c r="H82" s="441"/>
      <c r="I82" s="441"/>
      <c r="J82" s="441"/>
      <c r="K82" s="441"/>
      <c r="L82" s="441"/>
      <c r="M82" s="441"/>
      <c r="N82" s="441"/>
      <c r="O82" s="441"/>
      <c r="P82" s="441"/>
      <c r="Q82" s="441"/>
      <c r="R82" s="440"/>
      <c r="S82" s="440"/>
      <c r="T82" s="440"/>
      <c r="U82" s="440"/>
      <c r="V82" s="440"/>
      <c r="Y82" s="487"/>
    </row>
    <row r="83" spans="1:25" ht="18.75">
      <c r="A83" s="387"/>
      <c r="B83" s="387"/>
      <c r="C83" s="442"/>
      <c r="D83" s="442"/>
      <c r="E83" s="442"/>
      <c r="F83" s="442"/>
      <c r="G83" s="442"/>
      <c r="H83" s="442"/>
      <c r="I83" s="442"/>
      <c r="J83" s="442"/>
      <c r="K83" s="442"/>
      <c r="L83" s="442"/>
      <c r="M83" s="442"/>
      <c r="N83" s="442"/>
      <c r="O83" s="442"/>
      <c r="P83" s="442"/>
      <c r="Q83" s="442"/>
      <c r="R83" s="387"/>
      <c r="S83" s="387"/>
      <c r="T83" s="387"/>
      <c r="U83" s="387"/>
      <c r="V83" s="478"/>
      <c r="W83" s="491"/>
      <c r="Y83" s="487"/>
    </row>
    <row r="84" spans="1:22" ht="18.75">
      <c r="A84" s="387"/>
      <c r="B84" s="388"/>
      <c r="C84" s="388"/>
      <c r="D84" s="388"/>
      <c r="E84" s="388"/>
      <c r="F84" s="388"/>
      <c r="G84" s="388"/>
      <c r="H84" s="388"/>
      <c r="I84" s="388"/>
      <c r="J84" s="388"/>
      <c r="K84" s="388"/>
      <c r="L84" s="388"/>
      <c r="M84" s="388"/>
      <c r="N84" s="388"/>
      <c r="O84" s="388"/>
      <c r="P84" s="388"/>
      <c r="Q84" s="388"/>
      <c r="R84" s="388"/>
      <c r="S84" s="387"/>
      <c r="T84" s="387"/>
      <c r="U84" s="387"/>
      <c r="V84" s="387"/>
    </row>
    <row r="85" spans="1:22" ht="15.75" customHeight="1">
      <c r="A85" s="399"/>
      <c r="B85" s="387"/>
      <c r="C85" s="387"/>
      <c r="D85" s="388"/>
      <c r="E85" s="388"/>
      <c r="F85" s="388"/>
      <c r="G85" s="388"/>
      <c r="H85" s="388"/>
      <c r="I85" s="388"/>
      <c r="J85" s="388"/>
      <c r="K85" s="388"/>
      <c r="L85" s="388"/>
      <c r="M85" s="388"/>
      <c r="N85" s="388"/>
      <c r="O85" s="388"/>
      <c r="P85" s="388"/>
      <c r="Q85" s="388"/>
      <c r="R85" s="387"/>
      <c r="S85" s="387"/>
      <c r="T85" s="387"/>
      <c r="U85" s="387"/>
      <c r="V85" s="387"/>
    </row>
    <row r="86" spans="1:22" ht="15.75" customHeight="1">
      <c r="A86" s="387"/>
      <c r="B86" s="388"/>
      <c r="C86" s="388"/>
      <c r="D86" s="388"/>
      <c r="E86" s="388"/>
      <c r="F86" s="388"/>
      <c r="G86" s="388"/>
      <c r="H86" s="388"/>
      <c r="I86" s="388"/>
      <c r="J86" s="388"/>
      <c r="K86" s="388"/>
      <c r="L86" s="388"/>
      <c r="M86" s="388"/>
      <c r="N86" s="388"/>
      <c r="O86" s="388"/>
      <c r="P86" s="388"/>
      <c r="Q86" s="388"/>
      <c r="R86" s="387"/>
      <c r="S86" s="387"/>
      <c r="T86" s="387"/>
      <c r="U86" s="387"/>
      <c r="V86" s="387"/>
    </row>
    <row r="87" spans="1:22" ht="18.75">
      <c r="A87" s="389"/>
      <c r="B87" s="389"/>
      <c r="C87" s="389"/>
      <c r="D87" s="389"/>
      <c r="E87" s="389"/>
      <c r="F87" s="389"/>
      <c r="G87" s="389"/>
      <c r="H87" s="389"/>
      <c r="I87" s="389"/>
      <c r="J87" s="389"/>
      <c r="K87" s="389"/>
      <c r="L87" s="389"/>
      <c r="M87" s="389"/>
      <c r="N87" s="389"/>
      <c r="O87" s="389"/>
      <c r="P87" s="389"/>
      <c r="Q87" s="387"/>
      <c r="R87" s="387"/>
      <c r="S87" s="387"/>
      <c r="T87" s="387"/>
      <c r="U87" s="387"/>
      <c r="V87" s="387"/>
    </row>
    <row r="88" spans="1:22" ht="18.75">
      <c r="A88" s="387"/>
      <c r="B88" s="387"/>
      <c r="C88" s="387"/>
      <c r="D88" s="387"/>
      <c r="E88" s="387"/>
      <c r="F88" s="387"/>
      <c r="G88" s="387"/>
      <c r="H88" s="387"/>
      <c r="I88" s="387"/>
      <c r="J88" s="387"/>
      <c r="K88" s="387"/>
      <c r="L88" s="387"/>
      <c r="M88" s="387"/>
      <c r="N88" s="387"/>
      <c r="O88" s="387"/>
      <c r="P88" s="387"/>
      <c r="Q88" s="387"/>
      <c r="R88" s="387"/>
      <c r="S88" s="387"/>
      <c r="T88" s="387"/>
      <c r="U88" s="387"/>
      <c r="V88" s="387"/>
    </row>
    <row r="89" spans="1:22" ht="18.75">
      <c r="A89" s="387"/>
      <c r="B89" s="973" t="str">
        <f>'Thong tin'!B5</f>
        <v>Nhan Quốc Hải</v>
      </c>
      <c r="C89" s="973"/>
      <c r="D89" s="973"/>
      <c r="E89" s="973"/>
      <c r="F89" s="387"/>
      <c r="G89" s="387"/>
      <c r="H89" s="387"/>
      <c r="I89" s="387"/>
      <c r="J89" s="387"/>
      <c r="K89" s="387"/>
      <c r="L89" s="387"/>
      <c r="M89" s="387"/>
      <c r="N89" s="973" t="str">
        <f>'Thong tin'!B6</f>
        <v>Nguyễn Minh Khiêm</v>
      </c>
      <c r="O89" s="973"/>
      <c r="P89" s="973"/>
      <c r="Q89" s="973"/>
      <c r="R89" s="973"/>
      <c r="S89" s="973"/>
      <c r="T89" s="450"/>
      <c r="U89" s="450"/>
      <c r="V89" s="450"/>
    </row>
    <row r="90" spans="1:22" ht="18.75">
      <c r="A90" s="398"/>
      <c r="B90" s="398"/>
      <c r="C90" s="398"/>
      <c r="D90" s="398"/>
      <c r="E90" s="398"/>
      <c r="F90" s="398"/>
      <c r="G90" s="398"/>
      <c r="H90" s="398"/>
      <c r="I90" s="398"/>
      <c r="J90" s="398"/>
      <c r="K90" s="398"/>
      <c r="L90" s="398"/>
      <c r="M90" s="398"/>
      <c r="N90" s="398"/>
      <c r="O90" s="398"/>
      <c r="P90" s="398"/>
      <c r="Q90" s="398"/>
      <c r="R90" s="398"/>
      <c r="S90" s="398"/>
      <c r="T90" s="398"/>
      <c r="U90" s="398"/>
      <c r="V90" s="398"/>
    </row>
  </sheetData>
  <sheetProtection/>
  <mergeCells count="33">
    <mergeCell ref="A3:D3"/>
    <mergeCell ref="A2:D2"/>
    <mergeCell ref="E8:E9"/>
    <mergeCell ref="Q7:Q9"/>
    <mergeCell ref="D7:E7"/>
    <mergeCell ref="C7:C9"/>
    <mergeCell ref="E1:O1"/>
    <mergeCell ref="E2:O2"/>
    <mergeCell ref="E3:O3"/>
    <mergeCell ref="F6:F9"/>
    <mergeCell ref="G6:G9"/>
    <mergeCell ref="T6:T9"/>
    <mergeCell ref="P2:S2"/>
    <mergeCell ref="P4:S4"/>
    <mergeCell ref="H7:H9"/>
    <mergeCell ref="U6:U9"/>
    <mergeCell ref="N80:S80"/>
    <mergeCell ref="J8:P8"/>
    <mergeCell ref="B81:E81"/>
    <mergeCell ref="A80:E80"/>
    <mergeCell ref="R6:R9"/>
    <mergeCell ref="I8:I9"/>
    <mergeCell ref="I7:P7"/>
    <mergeCell ref="S6:S9"/>
    <mergeCell ref="H6:Q6"/>
    <mergeCell ref="B89:E89"/>
    <mergeCell ref="N81:S81"/>
    <mergeCell ref="N89:S89"/>
    <mergeCell ref="D8:D9"/>
    <mergeCell ref="A11:B11"/>
    <mergeCell ref="C6:E6"/>
    <mergeCell ref="A6:B9"/>
    <mergeCell ref="A10:B10"/>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L89"/>
  <sheetViews>
    <sheetView showZeros="0" tabSelected="1" view="pageBreakPreview" zoomScaleNormal="85" zoomScaleSheetLayoutView="100" zoomScalePageLayoutView="0" workbookViewId="0" topLeftCell="A9">
      <pane xSplit="3" ySplit="2" topLeftCell="D74" activePane="bottomRight" state="frozen"/>
      <selection pane="topLeft" activeCell="A9" sqref="A9"/>
      <selection pane="topRight" activeCell="D9" sqref="D9"/>
      <selection pane="bottomLeft" activeCell="A11" sqref="A11"/>
      <selection pane="bottomRight" activeCell="B82" sqref="B82:S85"/>
    </sheetView>
  </sheetViews>
  <sheetFormatPr defaultColWidth="9.00390625" defaultRowHeight="15.75"/>
  <cols>
    <col min="1" max="1" width="3.50390625" style="378" customWidth="1"/>
    <col min="2" max="2" width="12.00390625" style="378" customWidth="1"/>
    <col min="3" max="3" width="10.375" style="378" customWidth="1"/>
    <col min="4" max="4" width="10.00390625" style="378" customWidth="1"/>
    <col min="5" max="5" width="10.375" style="378" customWidth="1"/>
    <col min="6" max="6" width="9.50390625" style="378" customWidth="1"/>
    <col min="7" max="7" width="7.75390625" style="378" customWidth="1"/>
    <col min="8" max="8" width="9.125" style="378" customWidth="1"/>
    <col min="9" max="9" width="9.75390625" style="378" customWidth="1"/>
    <col min="10" max="10" width="10.75390625" style="378" customWidth="1"/>
    <col min="11" max="11" width="9.625" style="378" customWidth="1"/>
    <col min="12" max="12" width="5.875" style="378" customWidth="1"/>
    <col min="13" max="13" width="9.50390625" style="378" customWidth="1"/>
    <col min="14" max="14" width="8.125" style="378" customWidth="1"/>
    <col min="15" max="15" width="6.125" style="378" customWidth="1"/>
    <col min="16" max="16" width="4.875" style="378" customWidth="1"/>
    <col min="17" max="17" width="7.00390625" style="378" customWidth="1"/>
    <col min="18" max="18" width="9.75390625" style="378" customWidth="1"/>
    <col min="19" max="19" width="9.25390625" style="378" customWidth="1"/>
    <col min="20" max="20" width="6.125" style="378" customWidth="1"/>
    <col min="21" max="21" width="7.125" style="378" customWidth="1"/>
    <col min="22" max="22" width="7.875" style="378" customWidth="1"/>
    <col min="23" max="23" width="9.875" style="378" customWidth="1"/>
    <col min="24" max="24" width="10.875" style="378" bestFit="1" customWidth="1"/>
    <col min="25" max="25" width="9.00390625" style="378" customWidth="1"/>
    <col min="26" max="26" width="10.25390625" style="378" customWidth="1"/>
    <col min="27" max="28" width="9.00390625" style="378" customWidth="1"/>
    <col min="29" max="29" width="9.875" style="378" bestFit="1" customWidth="1"/>
    <col min="30" max="16384" width="9.00390625" style="378" customWidth="1"/>
  </cols>
  <sheetData>
    <row r="1" spans="1:22" ht="20.25" customHeight="1">
      <c r="A1" s="416" t="s">
        <v>28</v>
      </c>
      <c r="B1" s="416"/>
      <c r="C1" s="416"/>
      <c r="E1" s="984" t="s">
        <v>66</v>
      </c>
      <c r="F1" s="984"/>
      <c r="G1" s="984"/>
      <c r="H1" s="984"/>
      <c r="I1" s="984"/>
      <c r="J1" s="984"/>
      <c r="K1" s="984"/>
      <c r="L1" s="984"/>
      <c r="M1" s="984"/>
      <c r="N1" s="984"/>
      <c r="O1" s="984"/>
      <c r="P1" s="984"/>
      <c r="Q1" s="418" t="s">
        <v>429</v>
      </c>
      <c r="R1" s="414"/>
      <c r="S1" s="414"/>
      <c r="T1" s="414"/>
      <c r="U1" s="414"/>
      <c r="V1" s="414"/>
    </row>
    <row r="2" spans="1:22" ht="17.25" customHeight="1">
      <c r="A2" s="997" t="s">
        <v>245</v>
      </c>
      <c r="B2" s="997"/>
      <c r="C2" s="997"/>
      <c r="D2" s="997"/>
      <c r="E2" s="985" t="s">
        <v>34</v>
      </c>
      <c r="F2" s="985"/>
      <c r="G2" s="985"/>
      <c r="H2" s="985"/>
      <c r="I2" s="985"/>
      <c r="J2" s="985"/>
      <c r="K2" s="985"/>
      <c r="L2" s="985"/>
      <c r="M2" s="985"/>
      <c r="N2" s="985"/>
      <c r="O2" s="985"/>
      <c r="P2" s="985"/>
      <c r="Q2" s="998" t="str">
        <f>'Thong tin'!B4</f>
        <v>CTHADS TRÀ VINH</v>
      </c>
      <c r="R2" s="998"/>
      <c r="S2" s="998"/>
      <c r="T2" s="998"/>
      <c r="U2" s="501"/>
      <c r="V2" s="501"/>
    </row>
    <row r="3" spans="1:22" ht="18" customHeight="1">
      <c r="A3" s="997" t="s">
        <v>246</v>
      </c>
      <c r="B3" s="997"/>
      <c r="C3" s="997"/>
      <c r="D3" s="997"/>
      <c r="E3" s="986" t="str">
        <f>'Thong tin'!B3</f>
        <v>01 tháng / năm 2020</v>
      </c>
      <c r="F3" s="986"/>
      <c r="G3" s="986"/>
      <c r="H3" s="986"/>
      <c r="I3" s="986"/>
      <c r="J3" s="986"/>
      <c r="K3" s="986"/>
      <c r="L3" s="986"/>
      <c r="M3" s="986"/>
      <c r="N3" s="986"/>
      <c r="O3" s="986"/>
      <c r="P3" s="986"/>
      <c r="Q3" s="418" t="s">
        <v>363</v>
      </c>
      <c r="R3" s="417"/>
      <c r="S3" s="414"/>
      <c r="T3" s="414"/>
      <c r="U3" s="414"/>
      <c r="V3" s="414"/>
    </row>
    <row r="4" spans="1:22" ht="14.25" customHeight="1">
      <c r="A4" s="382" t="s">
        <v>125</v>
      </c>
      <c r="B4" s="416"/>
      <c r="C4" s="416"/>
      <c r="D4" s="416"/>
      <c r="E4" s="416"/>
      <c r="F4" s="416"/>
      <c r="G4" s="416"/>
      <c r="H4" s="416"/>
      <c r="I4" s="416"/>
      <c r="J4" s="416"/>
      <c r="K4" s="416"/>
      <c r="L4" s="416"/>
      <c r="M4" s="416"/>
      <c r="N4" s="416"/>
      <c r="O4" s="415"/>
      <c r="P4" s="415"/>
      <c r="Q4" s="999" t="s">
        <v>305</v>
      </c>
      <c r="R4" s="999"/>
      <c r="S4" s="999"/>
      <c r="T4" s="999"/>
      <c r="U4" s="502"/>
      <c r="V4" s="502"/>
    </row>
    <row r="5" spans="2:22" ht="21.75" customHeight="1">
      <c r="B5" s="21"/>
      <c r="C5" s="21"/>
      <c r="Q5" s="993" t="s">
        <v>430</v>
      </c>
      <c r="R5" s="993"/>
      <c r="S5" s="993"/>
      <c r="T5" s="993"/>
      <c r="U5" s="500"/>
      <c r="V5" s="500"/>
    </row>
    <row r="6" spans="1:38" ht="18.75" customHeight="1">
      <c r="A6" s="990" t="s">
        <v>57</v>
      </c>
      <c r="B6" s="990"/>
      <c r="C6" s="994" t="s">
        <v>126</v>
      </c>
      <c r="D6" s="994"/>
      <c r="E6" s="994"/>
      <c r="F6" s="996" t="s">
        <v>101</v>
      </c>
      <c r="G6" s="996" t="s">
        <v>127</v>
      </c>
      <c r="H6" s="995" t="s">
        <v>102</v>
      </c>
      <c r="I6" s="995"/>
      <c r="J6" s="995"/>
      <c r="K6" s="995"/>
      <c r="L6" s="995"/>
      <c r="M6" s="995"/>
      <c r="N6" s="995"/>
      <c r="O6" s="995"/>
      <c r="P6" s="995"/>
      <c r="Q6" s="995"/>
      <c r="R6" s="995"/>
      <c r="S6" s="994" t="s">
        <v>250</v>
      </c>
      <c r="T6" s="994" t="s">
        <v>512</v>
      </c>
      <c r="U6" s="994" t="s">
        <v>527</v>
      </c>
      <c r="V6" s="507"/>
      <c r="W6" s="381"/>
      <c r="X6" s="381"/>
      <c r="Y6" s="381"/>
      <c r="Z6" s="381"/>
      <c r="AA6" s="381"/>
      <c r="AB6" s="381"/>
      <c r="AC6" s="381"/>
      <c r="AD6" s="381"/>
      <c r="AE6" s="381"/>
      <c r="AF6" s="381"/>
      <c r="AG6" s="381"/>
      <c r="AH6" s="381"/>
      <c r="AI6" s="381"/>
      <c r="AJ6" s="381"/>
      <c r="AK6" s="381"/>
      <c r="AL6" s="381"/>
    </row>
    <row r="7" spans="1:38" s="413" customFormat="1" ht="21" customHeight="1">
      <c r="A7" s="990"/>
      <c r="B7" s="990"/>
      <c r="C7" s="994" t="s">
        <v>42</v>
      </c>
      <c r="D7" s="994" t="s">
        <v>7</v>
      </c>
      <c r="E7" s="994"/>
      <c r="F7" s="996"/>
      <c r="G7" s="996"/>
      <c r="H7" s="996" t="s">
        <v>102</v>
      </c>
      <c r="I7" s="994" t="s">
        <v>103</v>
      </c>
      <c r="J7" s="994"/>
      <c r="K7" s="994"/>
      <c r="L7" s="994"/>
      <c r="M7" s="994"/>
      <c r="N7" s="994"/>
      <c r="O7" s="994"/>
      <c r="P7" s="994"/>
      <c r="Q7" s="994"/>
      <c r="R7" s="996" t="s">
        <v>128</v>
      </c>
      <c r="S7" s="994"/>
      <c r="T7" s="994"/>
      <c r="U7" s="994"/>
      <c r="V7" s="507"/>
      <c r="W7" s="414"/>
      <c r="X7" s="414"/>
      <c r="Y7" s="414"/>
      <c r="Z7" s="414"/>
      <c r="AA7" s="414"/>
      <c r="AB7" s="414"/>
      <c r="AC7" s="414"/>
      <c r="AD7" s="414"/>
      <c r="AE7" s="414"/>
      <c r="AF7" s="414"/>
      <c r="AG7" s="414"/>
      <c r="AH7" s="414"/>
      <c r="AI7" s="414"/>
      <c r="AJ7" s="414"/>
      <c r="AK7" s="414"/>
      <c r="AL7" s="414"/>
    </row>
    <row r="8" spans="1:38" ht="21.75" customHeight="1">
      <c r="A8" s="990"/>
      <c r="B8" s="990"/>
      <c r="C8" s="994"/>
      <c r="D8" s="994" t="s">
        <v>129</v>
      </c>
      <c r="E8" s="994" t="s">
        <v>130</v>
      </c>
      <c r="F8" s="996"/>
      <c r="G8" s="996"/>
      <c r="H8" s="996"/>
      <c r="I8" s="996" t="s">
        <v>511</v>
      </c>
      <c r="J8" s="994" t="s">
        <v>7</v>
      </c>
      <c r="K8" s="994"/>
      <c r="L8" s="994"/>
      <c r="M8" s="994"/>
      <c r="N8" s="994"/>
      <c r="O8" s="994"/>
      <c r="P8" s="994"/>
      <c r="Q8" s="994"/>
      <c r="R8" s="996"/>
      <c r="S8" s="994"/>
      <c r="T8" s="994"/>
      <c r="U8" s="994"/>
      <c r="V8" s="507"/>
      <c r="W8" s="381"/>
      <c r="X8" s="381"/>
      <c r="Y8" s="381"/>
      <c r="Z8" s="381"/>
      <c r="AA8" s="381"/>
      <c r="AB8" s="381"/>
      <c r="AC8" s="381"/>
      <c r="AD8" s="381"/>
      <c r="AE8" s="381"/>
      <c r="AF8" s="381"/>
      <c r="AG8" s="381"/>
      <c r="AH8" s="381"/>
      <c r="AI8" s="381"/>
      <c r="AJ8" s="381"/>
      <c r="AK8" s="381"/>
      <c r="AL8" s="381"/>
    </row>
    <row r="9" spans="1:38" ht="84" customHeight="1">
      <c r="A9" s="990"/>
      <c r="B9" s="990"/>
      <c r="C9" s="994"/>
      <c r="D9" s="994"/>
      <c r="E9" s="994"/>
      <c r="F9" s="996"/>
      <c r="G9" s="996"/>
      <c r="H9" s="996"/>
      <c r="I9" s="996"/>
      <c r="J9" s="454" t="s">
        <v>131</v>
      </c>
      <c r="K9" s="454" t="s">
        <v>132</v>
      </c>
      <c r="L9" s="454" t="s">
        <v>124</v>
      </c>
      <c r="M9" s="455" t="s">
        <v>105</v>
      </c>
      <c r="N9" s="455" t="s">
        <v>133</v>
      </c>
      <c r="O9" s="455" t="s">
        <v>108</v>
      </c>
      <c r="P9" s="455" t="s">
        <v>251</v>
      </c>
      <c r="Q9" s="455" t="s">
        <v>111</v>
      </c>
      <c r="R9" s="996"/>
      <c r="S9" s="994"/>
      <c r="T9" s="994"/>
      <c r="U9" s="994"/>
      <c r="V9" s="571"/>
      <c r="W9" s="381"/>
      <c r="X9" s="381"/>
      <c r="Y9" s="381"/>
      <c r="Z9" s="492" t="s">
        <v>572</v>
      </c>
      <c r="AA9" s="492" t="s">
        <v>540</v>
      </c>
      <c r="AB9" s="493" t="s">
        <v>541</v>
      </c>
      <c r="AC9" s="545" t="s">
        <v>545</v>
      </c>
      <c r="AD9" s="381"/>
      <c r="AE9" s="381"/>
      <c r="AF9" s="381"/>
      <c r="AG9" s="381"/>
      <c r="AH9" s="381"/>
      <c r="AI9" s="381"/>
      <c r="AJ9" s="381"/>
      <c r="AK9" s="381"/>
      <c r="AL9" s="381"/>
    </row>
    <row r="10" spans="1:29" ht="17.25" customHeight="1">
      <c r="A10" s="991" t="s">
        <v>6</v>
      </c>
      <c r="B10" s="992"/>
      <c r="C10" s="456">
        <v>1</v>
      </c>
      <c r="D10" s="456">
        <v>2</v>
      </c>
      <c r="E10" s="456">
        <v>3</v>
      </c>
      <c r="F10" s="456">
        <v>4</v>
      </c>
      <c r="G10" s="456">
        <v>5</v>
      </c>
      <c r="H10" s="456">
        <v>6</v>
      </c>
      <c r="I10" s="456">
        <v>7</v>
      </c>
      <c r="J10" s="456">
        <v>8</v>
      </c>
      <c r="K10" s="456">
        <v>9</v>
      </c>
      <c r="L10" s="456" t="s">
        <v>83</v>
      </c>
      <c r="M10" s="456" t="s">
        <v>84</v>
      </c>
      <c r="N10" s="456" t="s">
        <v>85</v>
      </c>
      <c r="O10" s="456" t="s">
        <v>86</v>
      </c>
      <c r="P10" s="456" t="s">
        <v>87</v>
      </c>
      <c r="Q10" s="456" t="s">
        <v>253</v>
      </c>
      <c r="R10" s="456" t="s">
        <v>518</v>
      </c>
      <c r="S10" s="456" t="s">
        <v>517</v>
      </c>
      <c r="T10" s="457" t="s">
        <v>516</v>
      </c>
      <c r="U10" s="456" t="s">
        <v>529</v>
      </c>
      <c r="V10" s="456" t="s">
        <v>530</v>
      </c>
      <c r="W10" s="456" t="s">
        <v>531</v>
      </c>
      <c r="X10" s="456" t="s">
        <v>532</v>
      </c>
      <c r="Y10" s="456" t="s">
        <v>533</v>
      </c>
      <c r="Z10" s="456" t="s">
        <v>543</v>
      </c>
      <c r="AA10" s="456" t="s">
        <v>544</v>
      </c>
      <c r="AB10" s="456" t="s">
        <v>546</v>
      </c>
      <c r="AC10" s="456" t="s">
        <v>571</v>
      </c>
    </row>
    <row r="11" spans="1:29" ht="19.5" customHeight="1">
      <c r="A11" s="1002" t="s">
        <v>30</v>
      </c>
      <c r="B11" s="1002"/>
      <c r="C11" s="481">
        <f aca="true" t="shared" si="0" ref="C11:S11">+C12+C22</f>
        <v>845325637</v>
      </c>
      <c r="D11" s="481">
        <f t="shared" si="0"/>
        <v>706925899</v>
      </c>
      <c r="E11" s="481">
        <f t="shared" si="0"/>
        <v>138399738</v>
      </c>
      <c r="F11" s="481">
        <f t="shared" si="0"/>
        <v>1192418</v>
      </c>
      <c r="G11" s="481">
        <f t="shared" si="0"/>
        <v>56528</v>
      </c>
      <c r="H11" s="481">
        <f t="shared" si="0"/>
        <v>844133219</v>
      </c>
      <c r="I11" s="481">
        <f t="shared" si="0"/>
        <v>513642163</v>
      </c>
      <c r="J11" s="481">
        <f t="shared" si="0"/>
        <v>14779235</v>
      </c>
      <c r="K11" s="481">
        <f t="shared" si="0"/>
        <v>2471711</v>
      </c>
      <c r="L11" s="481">
        <f t="shared" si="0"/>
        <v>0</v>
      </c>
      <c r="M11" s="481">
        <f t="shared" si="0"/>
        <v>491559835</v>
      </c>
      <c r="N11" s="481">
        <f t="shared" si="0"/>
        <v>2896850</v>
      </c>
      <c r="O11" s="481">
        <f t="shared" si="0"/>
        <v>56600</v>
      </c>
      <c r="P11" s="481">
        <f t="shared" si="0"/>
        <v>0</v>
      </c>
      <c r="Q11" s="481">
        <f t="shared" si="0"/>
        <v>1877932</v>
      </c>
      <c r="R11" s="481">
        <f t="shared" si="0"/>
        <v>330491056</v>
      </c>
      <c r="S11" s="481">
        <f t="shared" si="0"/>
        <v>826882273</v>
      </c>
      <c r="T11" s="561">
        <f aca="true" t="shared" si="1" ref="T11:T44">(((J11+K11+L11))/I11)*100</f>
        <v>3.3585533358950515</v>
      </c>
      <c r="U11" s="488">
        <f>I11/H11</f>
        <v>0.6084847171498412</v>
      </c>
      <c r="V11" s="505">
        <f>+V12+V22</f>
        <v>0</v>
      </c>
      <c r="W11" s="543">
        <f aca="true" t="shared" si="2" ref="W11:W24">+C11-(F11+G11+H11)</f>
        <v>-56528</v>
      </c>
      <c r="X11" s="447">
        <f aca="true" t="shared" si="3" ref="X11:X44">+M11+N11+O11+P11+Q11+R11</f>
        <v>826882273</v>
      </c>
      <c r="Y11" s="544" t="str">
        <f aca="true" t="shared" si="4" ref="Y11:Y44">+IF(X11=S11,"Đ","S")</f>
        <v>Đ</v>
      </c>
      <c r="Z11" s="496">
        <f aca="true" t="shared" si="5" ref="Z11:Z44">+M11+N11+O11+P11+Q11</f>
        <v>496391217</v>
      </c>
      <c r="AA11" s="496" t="e">
        <f>+AA12+AA22</f>
        <v>#REF!</v>
      </c>
      <c r="AB11" s="498" t="e">
        <f>(((Z11)-AA11)/AA11)*100</f>
        <v>#REF!</v>
      </c>
      <c r="AC11" s="497" t="e">
        <f>+Z11-AA11</f>
        <v>#REF!</v>
      </c>
    </row>
    <row r="12" spans="1:29" ht="19.5" customHeight="1">
      <c r="A12" s="562" t="s">
        <v>0</v>
      </c>
      <c r="B12" s="563" t="s">
        <v>510</v>
      </c>
      <c r="C12" s="481">
        <f aca="true" t="shared" si="6" ref="C12:K12">SUM(C13:C21)</f>
        <v>122861454</v>
      </c>
      <c r="D12" s="481">
        <f t="shared" si="6"/>
        <v>100272090</v>
      </c>
      <c r="E12" s="481">
        <f t="shared" si="6"/>
        <v>22589364</v>
      </c>
      <c r="F12" s="481">
        <f t="shared" si="6"/>
        <v>0</v>
      </c>
      <c r="G12" s="481">
        <f t="shared" si="6"/>
        <v>28264</v>
      </c>
      <c r="H12" s="481">
        <f t="shared" si="6"/>
        <v>122861454</v>
      </c>
      <c r="I12" s="481">
        <f t="shared" si="6"/>
        <v>70515112</v>
      </c>
      <c r="J12" s="481">
        <f t="shared" si="6"/>
        <v>2678038</v>
      </c>
      <c r="K12" s="481">
        <f t="shared" si="6"/>
        <v>4572</v>
      </c>
      <c r="L12" s="481"/>
      <c r="M12" s="481">
        <f aca="true" t="shared" si="7" ref="M12:S12">SUM(M13:M21)</f>
        <v>66987181</v>
      </c>
      <c r="N12" s="481">
        <f t="shared" si="7"/>
        <v>633931</v>
      </c>
      <c r="O12" s="481">
        <f t="shared" si="7"/>
        <v>23750</v>
      </c>
      <c r="P12" s="481">
        <f t="shared" si="7"/>
        <v>0</v>
      </c>
      <c r="Q12" s="481">
        <f t="shared" si="7"/>
        <v>187640</v>
      </c>
      <c r="R12" s="481">
        <f t="shared" si="7"/>
        <v>52346342</v>
      </c>
      <c r="S12" s="481">
        <f t="shared" si="7"/>
        <v>120178844</v>
      </c>
      <c r="T12" s="561">
        <f t="shared" si="1"/>
        <v>3.804305097040759</v>
      </c>
      <c r="U12" s="488">
        <f aca="true" t="shared" si="8" ref="U12:U79">I12/H12</f>
        <v>0.5739400739958685</v>
      </c>
      <c r="V12" s="505">
        <f>SUM(V13:V21)</f>
        <v>0</v>
      </c>
      <c r="W12" s="543">
        <f t="shared" si="2"/>
        <v>-28264</v>
      </c>
      <c r="X12" s="447">
        <f t="shared" si="3"/>
        <v>120178844</v>
      </c>
      <c r="Y12" s="544" t="str">
        <f t="shared" si="4"/>
        <v>Đ</v>
      </c>
      <c r="Z12" s="496">
        <f t="shared" si="5"/>
        <v>67832502</v>
      </c>
      <c r="AA12" s="496">
        <v>40855594</v>
      </c>
      <c r="AB12" s="498">
        <f aca="true" t="shared" si="9" ref="AB12:AB79">(((Z12)-AA12)/AA12)*100</f>
        <v>66.02990033629177</v>
      </c>
      <c r="AC12" s="497">
        <f aca="true" t="shared" si="10" ref="AC12:AC79">+Z12-AA12</f>
        <v>26976908</v>
      </c>
    </row>
    <row r="13" spans="1:29" ht="19.5" customHeight="1">
      <c r="A13" s="486" t="s">
        <v>43</v>
      </c>
      <c r="B13" s="508" t="s">
        <v>435</v>
      </c>
      <c r="C13" s="481">
        <f aca="true" t="shared" si="11" ref="C13:C21">+D13+E13</f>
        <v>27203</v>
      </c>
      <c r="D13" s="506"/>
      <c r="E13" s="506">
        <v>27203</v>
      </c>
      <c r="F13" s="506"/>
      <c r="G13" s="506"/>
      <c r="H13" s="481">
        <f aca="true" t="shared" si="12" ref="H13:H21">SUM(I13,R13)</f>
        <v>27203</v>
      </c>
      <c r="I13" s="481">
        <f aca="true" t="shared" si="13" ref="I13:I21">SUM(J13:Q13)</f>
        <v>27203</v>
      </c>
      <c r="J13" s="506">
        <v>27203</v>
      </c>
      <c r="K13" s="506"/>
      <c r="L13" s="506"/>
      <c r="M13" s="506"/>
      <c r="N13" s="506"/>
      <c r="O13" s="506"/>
      <c r="P13" s="506"/>
      <c r="Q13" s="506"/>
      <c r="R13" s="506"/>
      <c r="S13" s="564">
        <f aca="true" t="shared" si="14" ref="S13:S21">SUM(M13:R13)</f>
        <v>0</v>
      </c>
      <c r="T13" s="483">
        <f t="shared" si="1"/>
        <v>100</v>
      </c>
      <c r="U13" s="488">
        <f t="shared" si="8"/>
        <v>1</v>
      </c>
      <c r="V13" s="458"/>
      <c r="W13" s="543">
        <f t="shared" si="2"/>
        <v>0</v>
      </c>
      <c r="X13" s="447">
        <f t="shared" si="3"/>
        <v>0</v>
      </c>
      <c r="Y13" s="544" t="str">
        <f t="shared" si="4"/>
        <v>Đ</v>
      </c>
      <c r="Z13" s="497">
        <f t="shared" si="5"/>
        <v>0</v>
      </c>
      <c r="AA13" s="496"/>
      <c r="AB13" s="498" t="e">
        <f t="shared" si="9"/>
        <v>#DIV/0!</v>
      </c>
      <c r="AC13" s="497">
        <f t="shared" si="10"/>
        <v>0</v>
      </c>
    </row>
    <row r="14" spans="1:29" ht="19.5" customHeight="1">
      <c r="A14" s="486" t="s">
        <v>44</v>
      </c>
      <c r="B14" s="508" t="s">
        <v>509</v>
      </c>
      <c r="C14" s="481">
        <f t="shared" si="11"/>
        <v>3100</v>
      </c>
      <c r="D14" s="506"/>
      <c r="E14" s="506">
        <v>3100</v>
      </c>
      <c r="F14" s="506"/>
      <c r="G14" s="506"/>
      <c r="H14" s="481">
        <f t="shared" si="12"/>
        <v>3100</v>
      </c>
      <c r="I14" s="481">
        <f t="shared" si="13"/>
        <v>3100</v>
      </c>
      <c r="J14" s="506">
        <v>3100</v>
      </c>
      <c r="K14" s="506"/>
      <c r="L14" s="506"/>
      <c r="M14" s="506"/>
      <c r="N14" s="506"/>
      <c r="O14" s="506"/>
      <c r="P14" s="506"/>
      <c r="Q14" s="506"/>
      <c r="R14" s="506"/>
      <c r="S14" s="564">
        <f t="shared" si="14"/>
        <v>0</v>
      </c>
      <c r="T14" s="483">
        <f t="shared" si="1"/>
        <v>100</v>
      </c>
      <c r="U14" s="488">
        <f t="shared" si="8"/>
        <v>1</v>
      </c>
      <c r="V14" s="458"/>
      <c r="W14" s="543">
        <f t="shared" si="2"/>
        <v>0</v>
      </c>
      <c r="X14" s="447">
        <f t="shared" si="3"/>
        <v>0</v>
      </c>
      <c r="Y14" s="544" t="str">
        <f t="shared" si="4"/>
        <v>Đ</v>
      </c>
      <c r="Z14" s="497">
        <f t="shared" si="5"/>
        <v>0</v>
      </c>
      <c r="AA14" s="496"/>
      <c r="AB14" s="498" t="e">
        <f t="shared" si="9"/>
        <v>#DIV/0!</v>
      </c>
      <c r="AC14" s="497">
        <f t="shared" si="10"/>
        <v>0</v>
      </c>
    </row>
    <row r="15" spans="1:29" ht="19.5" customHeight="1">
      <c r="A15" s="486" t="s">
        <v>49</v>
      </c>
      <c r="B15" s="508" t="s">
        <v>508</v>
      </c>
      <c r="C15" s="481">
        <f t="shared" si="11"/>
        <v>22201577</v>
      </c>
      <c r="D15" s="506">
        <v>22173142</v>
      </c>
      <c r="E15" s="506">
        <v>28435</v>
      </c>
      <c r="F15" s="506"/>
      <c r="G15" s="506"/>
      <c r="H15" s="481">
        <f t="shared" si="12"/>
        <v>22201577</v>
      </c>
      <c r="I15" s="481">
        <f t="shared" si="13"/>
        <v>17423794</v>
      </c>
      <c r="J15" s="506">
        <v>663</v>
      </c>
      <c r="K15" s="506"/>
      <c r="L15" s="506"/>
      <c r="M15" s="506">
        <v>16934958</v>
      </c>
      <c r="N15" s="506">
        <v>406560</v>
      </c>
      <c r="O15" s="506">
        <v>23750</v>
      </c>
      <c r="P15" s="506"/>
      <c r="Q15" s="506">
        <v>57863</v>
      </c>
      <c r="R15" s="506">
        <v>4777783</v>
      </c>
      <c r="S15" s="564">
        <f t="shared" si="14"/>
        <v>22200914</v>
      </c>
      <c r="T15" s="483">
        <f t="shared" si="1"/>
        <v>0.0038051414060565687</v>
      </c>
      <c r="U15" s="488">
        <f t="shared" si="8"/>
        <v>0.7847998365161177</v>
      </c>
      <c r="V15" s="458"/>
      <c r="W15" s="543">
        <f t="shared" si="2"/>
        <v>0</v>
      </c>
      <c r="X15" s="447">
        <f t="shared" si="3"/>
        <v>22200914</v>
      </c>
      <c r="Y15" s="544" t="str">
        <f t="shared" si="4"/>
        <v>Đ</v>
      </c>
      <c r="Z15" s="497">
        <f t="shared" si="5"/>
        <v>17423131</v>
      </c>
      <c r="AA15" s="497">
        <v>650489</v>
      </c>
      <c r="AB15" s="498">
        <f t="shared" si="9"/>
        <v>2578.4666612348556</v>
      </c>
      <c r="AC15" s="497">
        <f t="shared" si="10"/>
        <v>16772642</v>
      </c>
    </row>
    <row r="16" spans="1:29" ht="19.5" customHeight="1">
      <c r="A16" s="486" t="s">
        <v>58</v>
      </c>
      <c r="B16" s="508" t="s">
        <v>507</v>
      </c>
      <c r="C16" s="481">
        <f t="shared" si="11"/>
        <v>31330129</v>
      </c>
      <c r="D16" s="506">
        <v>31154782</v>
      </c>
      <c r="E16" s="506">
        <v>175347</v>
      </c>
      <c r="F16" s="506"/>
      <c r="G16" s="506"/>
      <c r="H16" s="481">
        <f t="shared" si="12"/>
        <v>31330129</v>
      </c>
      <c r="I16" s="481">
        <f t="shared" si="13"/>
        <v>13436766</v>
      </c>
      <c r="J16" s="506">
        <v>60000</v>
      </c>
      <c r="K16" s="506"/>
      <c r="L16" s="506"/>
      <c r="M16" s="506">
        <v>13376766</v>
      </c>
      <c r="N16" s="506"/>
      <c r="O16" s="506"/>
      <c r="P16" s="506"/>
      <c r="Q16" s="506"/>
      <c r="R16" s="506">
        <v>17893363</v>
      </c>
      <c r="S16" s="564">
        <f t="shared" si="14"/>
        <v>31270129</v>
      </c>
      <c r="T16" s="483">
        <f t="shared" si="1"/>
        <v>0.44653601915818136</v>
      </c>
      <c r="U16" s="488">
        <f t="shared" si="8"/>
        <v>0.42887681694512014</v>
      </c>
      <c r="V16" s="458"/>
      <c r="W16" s="543">
        <f t="shared" si="2"/>
        <v>0</v>
      </c>
      <c r="X16" s="447">
        <f t="shared" si="3"/>
        <v>31270129</v>
      </c>
      <c r="Y16" s="544" t="str">
        <f t="shared" si="4"/>
        <v>Đ</v>
      </c>
      <c r="Z16" s="497">
        <f t="shared" si="5"/>
        <v>13376766</v>
      </c>
      <c r="AA16" s="497">
        <v>11433247</v>
      </c>
      <c r="AB16" s="498">
        <f t="shared" si="9"/>
        <v>16.998836813374187</v>
      </c>
      <c r="AC16" s="497">
        <f t="shared" si="10"/>
        <v>1943519</v>
      </c>
    </row>
    <row r="17" spans="1:29" ht="19.5" customHeight="1">
      <c r="A17" s="486" t="s">
        <v>59</v>
      </c>
      <c r="B17" s="574" t="s">
        <v>506</v>
      </c>
      <c r="C17" s="481">
        <f t="shared" si="11"/>
        <v>13526331</v>
      </c>
      <c r="D17" s="506">
        <v>12021685</v>
      </c>
      <c r="E17" s="506">
        <v>1504646</v>
      </c>
      <c r="F17" s="506"/>
      <c r="G17" s="506"/>
      <c r="H17" s="481">
        <f t="shared" si="12"/>
        <v>13526331</v>
      </c>
      <c r="I17" s="481">
        <f t="shared" si="13"/>
        <v>3173442</v>
      </c>
      <c r="J17" s="506">
        <v>2491109</v>
      </c>
      <c r="K17" s="506"/>
      <c r="L17" s="506"/>
      <c r="M17" s="506">
        <v>584673</v>
      </c>
      <c r="N17" s="506"/>
      <c r="O17" s="506"/>
      <c r="P17" s="506"/>
      <c r="Q17" s="506">
        <v>97660</v>
      </c>
      <c r="R17" s="506">
        <v>10352889</v>
      </c>
      <c r="S17" s="564">
        <f t="shared" si="14"/>
        <v>11035222</v>
      </c>
      <c r="T17" s="483">
        <f t="shared" si="1"/>
        <v>78.49864594972902</v>
      </c>
      <c r="U17" s="488">
        <f t="shared" si="8"/>
        <v>0.2346121797551753</v>
      </c>
      <c r="V17" s="458"/>
      <c r="W17" s="543">
        <f t="shared" si="2"/>
        <v>0</v>
      </c>
      <c r="X17" s="447">
        <f t="shared" si="3"/>
        <v>11035222</v>
      </c>
      <c r="Y17" s="544" t="str">
        <f t="shared" si="4"/>
        <v>Đ</v>
      </c>
      <c r="Z17" s="497">
        <f t="shared" si="5"/>
        <v>682333</v>
      </c>
      <c r="AA17" s="497">
        <v>8026808</v>
      </c>
      <c r="AB17" s="498">
        <f t="shared" si="9"/>
        <v>-91.49932326772984</v>
      </c>
      <c r="AC17" s="497">
        <f t="shared" si="10"/>
        <v>-7344475</v>
      </c>
    </row>
    <row r="18" spans="1:29" ht="19.5" customHeight="1">
      <c r="A18" s="486" t="s">
        <v>60</v>
      </c>
      <c r="B18" s="508" t="s">
        <v>505</v>
      </c>
      <c r="C18" s="481">
        <f t="shared" si="11"/>
        <v>18233391</v>
      </c>
      <c r="D18" s="506">
        <f>13991094+4234065</f>
        <v>18225159</v>
      </c>
      <c r="E18" s="506">
        <v>8232</v>
      </c>
      <c r="F18" s="506"/>
      <c r="G18" s="506"/>
      <c r="H18" s="481">
        <f t="shared" si="12"/>
        <v>18233391</v>
      </c>
      <c r="I18" s="481">
        <f t="shared" si="13"/>
        <v>5431010</v>
      </c>
      <c r="J18" s="506">
        <v>60000</v>
      </c>
      <c r="K18" s="506">
        <v>4572</v>
      </c>
      <c r="L18" s="506"/>
      <c r="M18" s="506">
        <f>2976263+2162804</f>
        <v>5139067</v>
      </c>
      <c r="N18" s="506">
        <v>227371</v>
      </c>
      <c r="O18" s="506"/>
      <c r="P18" s="506"/>
      <c r="Q18" s="506"/>
      <c r="R18" s="506">
        <f>10731120+2071261</f>
        <v>12802381</v>
      </c>
      <c r="S18" s="564">
        <f t="shared" si="14"/>
        <v>18168819</v>
      </c>
      <c r="T18" s="483">
        <f t="shared" si="1"/>
        <v>1.188950121616421</v>
      </c>
      <c r="U18" s="488">
        <f t="shared" si="8"/>
        <v>0.2978606667295184</v>
      </c>
      <c r="V18" s="458"/>
      <c r="W18" s="543">
        <f t="shared" si="2"/>
        <v>0</v>
      </c>
      <c r="X18" s="447">
        <f t="shared" si="3"/>
        <v>18168819</v>
      </c>
      <c r="Y18" s="544" t="str">
        <f t="shared" si="4"/>
        <v>Đ</v>
      </c>
      <c r="Z18" s="497">
        <f t="shared" si="5"/>
        <v>5366438</v>
      </c>
      <c r="AA18" s="497">
        <v>11921593</v>
      </c>
      <c r="AB18" s="498">
        <f t="shared" si="9"/>
        <v>-54.98556275155509</v>
      </c>
      <c r="AC18" s="497">
        <f t="shared" si="10"/>
        <v>-6555155</v>
      </c>
    </row>
    <row r="19" spans="1:29" ht="19.5" customHeight="1">
      <c r="A19" s="486" t="s">
        <v>61</v>
      </c>
      <c r="B19" s="508" t="s">
        <v>569</v>
      </c>
      <c r="C19" s="481">
        <f t="shared" si="11"/>
        <v>31163947</v>
      </c>
      <c r="D19" s="506">
        <v>10326546</v>
      </c>
      <c r="E19" s="506">
        <v>20837401</v>
      </c>
      <c r="F19" s="506"/>
      <c r="G19" s="506">
        <v>28264</v>
      </c>
      <c r="H19" s="481">
        <f t="shared" si="12"/>
        <v>31163947</v>
      </c>
      <c r="I19" s="481">
        <f t="shared" si="13"/>
        <v>28170176</v>
      </c>
      <c r="J19" s="506">
        <v>35963</v>
      </c>
      <c r="K19" s="506"/>
      <c r="L19" s="506"/>
      <c r="M19" s="506">
        <v>28102096</v>
      </c>
      <c r="N19" s="506"/>
      <c r="O19" s="506"/>
      <c r="P19" s="506"/>
      <c r="Q19" s="506">
        <v>32117</v>
      </c>
      <c r="R19" s="506">
        <v>2993771</v>
      </c>
      <c r="S19" s="564">
        <f t="shared" si="14"/>
        <v>31127984</v>
      </c>
      <c r="T19" s="483">
        <f t="shared" si="1"/>
        <v>0.12766338414073097</v>
      </c>
      <c r="U19" s="488">
        <f t="shared" si="8"/>
        <v>0.9039347936254672</v>
      </c>
      <c r="V19" s="458"/>
      <c r="W19" s="543">
        <f t="shared" si="2"/>
        <v>-28264</v>
      </c>
      <c r="X19" s="447">
        <f t="shared" si="3"/>
        <v>31127984</v>
      </c>
      <c r="Y19" s="544" t="str">
        <f t="shared" si="4"/>
        <v>Đ</v>
      </c>
      <c r="Z19" s="497">
        <f t="shared" si="5"/>
        <v>28134213</v>
      </c>
      <c r="AA19" s="497">
        <v>509008</v>
      </c>
      <c r="AB19" s="498">
        <f t="shared" si="9"/>
        <v>5427.263422185899</v>
      </c>
      <c r="AC19" s="497">
        <f t="shared" si="10"/>
        <v>27625205</v>
      </c>
    </row>
    <row r="20" spans="1:29" ht="19.5" customHeight="1">
      <c r="A20" s="486" t="s">
        <v>62</v>
      </c>
      <c r="B20" s="508" t="s">
        <v>567</v>
      </c>
      <c r="C20" s="481">
        <f>+D20+E20</f>
        <v>6375776</v>
      </c>
      <c r="D20" s="506">
        <v>6370776</v>
      </c>
      <c r="E20" s="506">
        <v>5000</v>
      </c>
      <c r="F20" s="506"/>
      <c r="G20" s="506"/>
      <c r="H20" s="481">
        <f>SUM(I20,R20)</f>
        <v>6375776</v>
      </c>
      <c r="I20" s="481">
        <f>SUM(J20:Q20)</f>
        <v>2849621</v>
      </c>
      <c r="J20" s="506"/>
      <c r="K20" s="506"/>
      <c r="L20" s="506"/>
      <c r="M20" s="506">
        <v>2849621</v>
      </c>
      <c r="N20" s="506"/>
      <c r="O20" s="506"/>
      <c r="P20" s="506"/>
      <c r="Q20" s="506"/>
      <c r="R20" s="506">
        <v>3526155</v>
      </c>
      <c r="S20" s="564">
        <f>SUM(M20:R20)</f>
        <v>6375776</v>
      </c>
      <c r="T20" s="483">
        <f>(((J20+K20+L20))/I20)*100</f>
        <v>0</v>
      </c>
      <c r="U20" s="488">
        <f>I20/H20</f>
        <v>0.44694496795370475</v>
      </c>
      <c r="V20" s="458"/>
      <c r="W20" s="543">
        <f t="shared" si="2"/>
        <v>0</v>
      </c>
      <c r="X20" s="447">
        <f t="shared" si="3"/>
        <v>6375776</v>
      </c>
      <c r="Y20" s="544" t="str">
        <f t="shared" si="4"/>
        <v>Đ</v>
      </c>
      <c r="Z20" s="497"/>
      <c r="AA20" s="497"/>
      <c r="AB20" s="498"/>
      <c r="AC20" s="497"/>
    </row>
    <row r="21" spans="1:29" ht="19.5" customHeight="1">
      <c r="A21" s="486" t="s">
        <v>63</v>
      </c>
      <c r="B21" s="508" t="s">
        <v>575</v>
      </c>
      <c r="C21" s="481">
        <f t="shared" si="11"/>
        <v>0</v>
      </c>
      <c r="D21" s="506"/>
      <c r="E21" s="506"/>
      <c r="F21" s="506"/>
      <c r="G21" s="506"/>
      <c r="H21" s="481">
        <f t="shared" si="12"/>
        <v>0</v>
      </c>
      <c r="I21" s="481">
        <f t="shared" si="13"/>
        <v>0</v>
      </c>
      <c r="J21" s="506"/>
      <c r="K21" s="506"/>
      <c r="L21" s="506"/>
      <c r="M21" s="506"/>
      <c r="N21" s="506"/>
      <c r="O21" s="506"/>
      <c r="P21" s="506"/>
      <c r="Q21" s="506"/>
      <c r="R21" s="506"/>
      <c r="S21" s="564">
        <f t="shared" si="14"/>
        <v>0</v>
      </c>
      <c r="T21" s="483" t="e">
        <f t="shared" si="1"/>
        <v>#DIV/0!</v>
      </c>
      <c r="U21" s="488" t="e">
        <f t="shared" si="8"/>
        <v>#DIV/0!</v>
      </c>
      <c r="V21" s="458"/>
      <c r="W21" s="543">
        <f t="shared" si="2"/>
        <v>0</v>
      </c>
      <c r="X21" s="447">
        <f t="shared" si="3"/>
        <v>0</v>
      </c>
      <c r="Y21" s="544" t="str">
        <f t="shared" si="4"/>
        <v>Đ</v>
      </c>
      <c r="Z21" s="497">
        <f t="shared" si="5"/>
        <v>0</v>
      </c>
      <c r="AA21" s="497">
        <v>4229544</v>
      </c>
      <c r="AB21" s="498">
        <f t="shared" si="9"/>
        <v>-100</v>
      </c>
      <c r="AC21" s="497">
        <f t="shared" si="10"/>
        <v>-4229544</v>
      </c>
    </row>
    <row r="22" spans="1:29" ht="19.5" customHeight="1">
      <c r="A22" s="562" t="s">
        <v>1</v>
      </c>
      <c r="B22" s="563" t="s">
        <v>17</v>
      </c>
      <c r="C22" s="481">
        <f aca="true" t="shared" si="15" ref="C22:S22">+C23+C32+C38+C44+C48+C54+C61+C68+C74</f>
        <v>722464183</v>
      </c>
      <c r="D22" s="481">
        <f t="shared" si="15"/>
        <v>606653809</v>
      </c>
      <c r="E22" s="481">
        <f t="shared" si="15"/>
        <v>115810374</v>
      </c>
      <c r="F22" s="481">
        <f t="shared" si="15"/>
        <v>1192418</v>
      </c>
      <c r="G22" s="481">
        <f t="shared" si="15"/>
        <v>28264</v>
      </c>
      <c r="H22" s="481">
        <f t="shared" si="15"/>
        <v>721271765</v>
      </c>
      <c r="I22" s="481">
        <f t="shared" si="15"/>
        <v>443127051</v>
      </c>
      <c r="J22" s="481">
        <f>+J23+J32+J38+J44+J48+J54+J61+J68+J74</f>
        <v>12101197</v>
      </c>
      <c r="K22" s="481">
        <f t="shared" si="15"/>
        <v>2467139</v>
      </c>
      <c r="L22" s="481">
        <f t="shared" si="15"/>
        <v>0</v>
      </c>
      <c r="M22" s="481">
        <f t="shared" si="15"/>
        <v>424572654</v>
      </c>
      <c r="N22" s="481">
        <f t="shared" si="15"/>
        <v>2262919</v>
      </c>
      <c r="O22" s="481">
        <f t="shared" si="15"/>
        <v>32850</v>
      </c>
      <c r="P22" s="481">
        <f t="shared" si="15"/>
        <v>0</v>
      </c>
      <c r="Q22" s="481">
        <f t="shared" si="15"/>
        <v>1690292</v>
      </c>
      <c r="R22" s="481">
        <f t="shared" si="15"/>
        <v>278144714</v>
      </c>
      <c r="S22" s="481">
        <f t="shared" si="15"/>
        <v>706703429</v>
      </c>
      <c r="T22" s="483">
        <f t="shared" si="1"/>
        <v>3.287620551966709</v>
      </c>
      <c r="U22" s="488">
        <f t="shared" si="8"/>
        <v>0.6143690526968014</v>
      </c>
      <c r="V22" s="505">
        <f>+V23+V32+V38+V44+V48+V54+V61+V68+V74</f>
        <v>0</v>
      </c>
      <c r="W22" s="543">
        <f t="shared" si="2"/>
        <v>-28264</v>
      </c>
      <c r="X22" s="447">
        <f t="shared" si="3"/>
        <v>706703429</v>
      </c>
      <c r="Y22" s="544" t="str">
        <f t="shared" si="4"/>
        <v>Đ</v>
      </c>
      <c r="Z22" s="496">
        <f t="shared" si="5"/>
        <v>428558715</v>
      </c>
      <c r="AA22" s="496" t="e">
        <f>+AA23+AA32+AA38+AA44+AA48+AA54+AA61+AA68+AA74</f>
        <v>#REF!</v>
      </c>
      <c r="AB22" s="498" t="e">
        <f t="shared" si="9"/>
        <v>#REF!</v>
      </c>
      <c r="AC22" s="497" t="e">
        <f t="shared" si="10"/>
        <v>#REF!</v>
      </c>
    </row>
    <row r="23" spans="1:29" ht="19.5" customHeight="1">
      <c r="A23" s="562" t="s">
        <v>43</v>
      </c>
      <c r="B23" s="563" t="s">
        <v>502</v>
      </c>
      <c r="C23" s="481">
        <f>+C24+C25+C26+C27+C28+C29+C30+C31</f>
        <v>154566076</v>
      </c>
      <c r="D23" s="481">
        <f aca="true" t="shared" si="16" ref="D23:S23">+D24+D25+D26+D27+D28+D29+D30+D31</f>
        <v>146043059</v>
      </c>
      <c r="E23" s="481">
        <f t="shared" si="16"/>
        <v>8523017</v>
      </c>
      <c r="F23" s="481">
        <f t="shared" si="16"/>
        <v>0</v>
      </c>
      <c r="G23" s="481">
        <f t="shared" si="16"/>
        <v>28264</v>
      </c>
      <c r="H23" s="481">
        <f t="shared" si="16"/>
        <v>154566076</v>
      </c>
      <c r="I23" s="481">
        <f t="shared" si="16"/>
        <v>73168711</v>
      </c>
      <c r="J23" s="481">
        <f t="shared" si="16"/>
        <v>7538177</v>
      </c>
      <c r="K23" s="481">
        <f t="shared" si="16"/>
        <v>277936</v>
      </c>
      <c r="L23" s="481">
        <f t="shared" si="16"/>
        <v>0</v>
      </c>
      <c r="M23" s="481">
        <f t="shared" si="16"/>
        <v>63836382</v>
      </c>
      <c r="N23" s="481">
        <f t="shared" si="16"/>
        <v>1176034</v>
      </c>
      <c r="O23" s="481">
        <f t="shared" si="16"/>
        <v>0</v>
      </c>
      <c r="P23" s="481">
        <f t="shared" si="16"/>
        <v>0</v>
      </c>
      <c r="Q23" s="481">
        <f t="shared" si="16"/>
        <v>340182</v>
      </c>
      <c r="R23" s="481">
        <f t="shared" si="16"/>
        <v>81397365</v>
      </c>
      <c r="S23" s="481">
        <f t="shared" si="16"/>
        <v>146749963</v>
      </c>
      <c r="T23" s="483">
        <f t="shared" si="1"/>
        <v>10.682316106402366</v>
      </c>
      <c r="U23" s="488">
        <f t="shared" si="8"/>
        <v>0.47338143591094334</v>
      </c>
      <c r="V23" s="505">
        <f>+V24+V25+V26+V27+V28+V29+V30+V31</f>
        <v>0</v>
      </c>
      <c r="W23" s="543">
        <f t="shared" si="2"/>
        <v>-28264</v>
      </c>
      <c r="X23" s="447">
        <f t="shared" si="3"/>
        <v>146749963</v>
      </c>
      <c r="Y23" s="544" t="str">
        <f t="shared" si="4"/>
        <v>Đ</v>
      </c>
      <c r="Z23" s="496">
        <f t="shared" si="5"/>
        <v>65352598</v>
      </c>
      <c r="AA23" s="496">
        <f>+AA24+AA25+AA26+AA27+AA28+AA30+AA31</f>
        <v>86894941</v>
      </c>
      <c r="AB23" s="498">
        <f t="shared" si="9"/>
        <v>-24.79125108100367</v>
      </c>
      <c r="AC23" s="497">
        <f t="shared" si="10"/>
        <v>-21542343</v>
      </c>
    </row>
    <row r="24" spans="1:29" ht="19.5" customHeight="1">
      <c r="A24" s="486" t="s">
        <v>45</v>
      </c>
      <c r="B24" s="556" t="s">
        <v>501</v>
      </c>
      <c r="C24" s="481">
        <f>+D24+E24</f>
        <v>5241830</v>
      </c>
      <c r="D24" s="573">
        <v>4891431</v>
      </c>
      <c r="E24" s="573">
        <v>350399</v>
      </c>
      <c r="F24" s="573">
        <v>0</v>
      </c>
      <c r="G24" s="573">
        <v>0</v>
      </c>
      <c r="H24" s="481">
        <f>+I24+R24</f>
        <v>5241830</v>
      </c>
      <c r="I24" s="481">
        <f>+J24+K24+L24+M24+N24+O24+P24+Q24</f>
        <v>1429407</v>
      </c>
      <c r="J24" s="573">
        <v>315207</v>
      </c>
      <c r="K24" s="573">
        <v>0</v>
      </c>
      <c r="L24" s="573">
        <v>0</v>
      </c>
      <c r="M24" s="573">
        <f aca="true" t="shared" si="17" ref="M24:M31">C24-(F24+J24+K24+L24+N24+O24+P24+Q24+R24+G24)</f>
        <v>1114200</v>
      </c>
      <c r="N24" s="573">
        <v>0</v>
      </c>
      <c r="O24" s="573">
        <v>0</v>
      </c>
      <c r="P24" s="573">
        <v>0</v>
      </c>
      <c r="Q24" s="573">
        <v>0</v>
      </c>
      <c r="R24" s="573">
        <v>3812423</v>
      </c>
      <c r="S24" s="564">
        <f>+R24+Q24+P24+O24+N24+M24</f>
        <v>4926623</v>
      </c>
      <c r="T24" s="483">
        <f t="shared" si="1"/>
        <v>22.051592023825265</v>
      </c>
      <c r="U24" s="488">
        <f t="shared" si="8"/>
        <v>0.2726923612555157</v>
      </c>
      <c r="V24" s="465"/>
      <c r="W24" s="543">
        <f t="shared" si="2"/>
        <v>0</v>
      </c>
      <c r="X24" s="447">
        <f t="shared" si="3"/>
        <v>4926623</v>
      </c>
      <c r="Y24" s="544" t="str">
        <f t="shared" si="4"/>
        <v>Đ</v>
      </c>
      <c r="Z24" s="497">
        <f t="shared" si="5"/>
        <v>1114200</v>
      </c>
      <c r="AA24" s="497">
        <v>202438</v>
      </c>
      <c r="AB24" s="498">
        <f t="shared" si="9"/>
        <v>450.390736916982</v>
      </c>
      <c r="AC24" s="497">
        <f t="shared" si="10"/>
        <v>911762</v>
      </c>
    </row>
    <row r="25" spans="1:29" ht="19.5" customHeight="1">
      <c r="A25" s="486" t="s">
        <v>46</v>
      </c>
      <c r="B25" s="556" t="s">
        <v>560</v>
      </c>
      <c r="C25" s="481">
        <f aca="true" t="shared" si="18" ref="C25:C31">+D25+E25</f>
        <v>6653894</v>
      </c>
      <c r="D25" s="573">
        <v>6489994</v>
      </c>
      <c r="E25" s="573">
        <v>163900</v>
      </c>
      <c r="F25" s="573">
        <v>0</v>
      </c>
      <c r="G25" s="573">
        <v>28264</v>
      </c>
      <c r="H25" s="481">
        <f aca="true" t="shared" si="19" ref="H25:H31">+I25+R25</f>
        <v>6653894</v>
      </c>
      <c r="I25" s="481">
        <f aca="true" t="shared" si="20" ref="I25:I31">+J25+K25+L25+M25+N25+O25+P25+Q25</f>
        <v>4570149</v>
      </c>
      <c r="J25" s="573">
        <v>64225</v>
      </c>
      <c r="K25" s="573">
        <v>28264</v>
      </c>
      <c r="L25" s="573">
        <v>0</v>
      </c>
      <c r="M25" s="573">
        <f>C25-(F25+J25+K25+L25+N25+O25+P25+Q25+R25)</f>
        <v>4477660</v>
      </c>
      <c r="N25" s="573">
        <v>0</v>
      </c>
      <c r="O25" s="573">
        <v>0</v>
      </c>
      <c r="P25" s="573">
        <v>0</v>
      </c>
      <c r="Q25" s="573">
        <v>0</v>
      </c>
      <c r="R25" s="573">
        <v>2083745</v>
      </c>
      <c r="S25" s="564">
        <f aca="true" t="shared" si="21" ref="S25:S37">+R25+Q25+P25+O25+N25+M25</f>
        <v>6561405</v>
      </c>
      <c r="T25" s="483">
        <f t="shared" si="1"/>
        <v>2.023763339007109</v>
      </c>
      <c r="U25" s="488">
        <f t="shared" si="8"/>
        <v>0.6868382634289034</v>
      </c>
      <c r="V25" s="465"/>
      <c r="W25" s="543">
        <f aca="true" t="shared" si="22" ref="W25:W79">+C25-(F25+G25+H25)</f>
        <v>-28264</v>
      </c>
      <c r="X25" s="447">
        <f t="shared" si="3"/>
        <v>6561405</v>
      </c>
      <c r="Y25" s="544" t="str">
        <f t="shared" si="4"/>
        <v>Đ</v>
      </c>
      <c r="Z25" s="497">
        <f t="shared" si="5"/>
        <v>4477660</v>
      </c>
      <c r="AA25" s="497">
        <v>12196816</v>
      </c>
      <c r="AB25" s="498">
        <f t="shared" si="9"/>
        <v>-63.28828769737939</v>
      </c>
      <c r="AC25" s="497">
        <f t="shared" si="10"/>
        <v>-7719156</v>
      </c>
    </row>
    <row r="26" spans="1:29" ht="19.5" customHeight="1">
      <c r="A26" s="486" t="s">
        <v>104</v>
      </c>
      <c r="B26" s="556" t="s">
        <v>559</v>
      </c>
      <c r="C26" s="481">
        <f>+D26+E26</f>
        <v>38146222</v>
      </c>
      <c r="D26" s="573">
        <v>38121587</v>
      </c>
      <c r="E26" s="573">
        <v>24635</v>
      </c>
      <c r="F26" s="573">
        <v>0</v>
      </c>
      <c r="G26" s="573">
        <v>0</v>
      </c>
      <c r="H26" s="481">
        <f t="shared" si="19"/>
        <v>38146222</v>
      </c>
      <c r="I26" s="481">
        <f t="shared" si="20"/>
        <v>20338990</v>
      </c>
      <c r="J26" s="573">
        <v>750</v>
      </c>
      <c r="K26" s="573">
        <v>0</v>
      </c>
      <c r="L26" s="573">
        <v>0</v>
      </c>
      <c r="M26" s="573">
        <f t="shared" si="17"/>
        <v>20086710</v>
      </c>
      <c r="N26" s="573">
        <v>251530</v>
      </c>
      <c r="O26" s="573">
        <v>0</v>
      </c>
      <c r="P26" s="573">
        <v>0</v>
      </c>
      <c r="Q26" s="573">
        <v>0</v>
      </c>
      <c r="R26" s="573">
        <v>17807232</v>
      </c>
      <c r="S26" s="564">
        <f t="shared" si="21"/>
        <v>38145472</v>
      </c>
      <c r="T26" s="483">
        <f t="shared" si="1"/>
        <v>0.003687498740104597</v>
      </c>
      <c r="U26" s="488">
        <f t="shared" si="8"/>
        <v>0.5331849114703942</v>
      </c>
      <c r="V26" s="465"/>
      <c r="W26" s="543">
        <f t="shared" si="22"/>
        <v>0</v>
      </c>
      <c r="X26" s="447">
        <f t="shared" si="3"/>
        <v>38145472</v>
      </c>
      <c r="Y26" s="544" t="str">
        <f t="shared" si="4"/>
        <v>Đ</v>
      </c>
      <c r="Z26" s="497">
        <f t="shared" si="5"/>
        <v>20338240</v>
      </c>
      <c r="AA26" s="497">
        <v>21682762</v>
      </c>
      <c r="AB26" s="498">
        <f t="shared" si="9"/>
        <v>-6.20087975876874</v>
      </c>
      <c r="AC26" s="497">
        <f t="shared" si="10"/>
        <v>-1344522</v>
      </c>
    </row>
    <row r="27" spans="1:29" ht="19.5" customHeight="1">
      <c r="A27" s="486" t="s">
        <v>106</v>
      </c>
      <c r="B27" s="556" t="s">
        <v>498</v>
      </c>
      <c r="C27" s="481">
        <f t="shared" si="18"/>
        <v>33920730</v>
      </c>
      <c r="D27" s="573">
        <v>32435083</v>
      </c>
      <c r="E27" s="573">
        <v>1485647</v>
      </c>
      <c r="F27" s="573">
        <v>0</v>
      </c>
      <c r="G27" s="573">
        <v>0</v>
      </c>
      <c r="H27" s="481">
        <f t="shared" si="19"/>
        <v>33920730</v>
      </c>
      <c r="I27" s="481">
        <f t="shared" si="20"/>
        <v>12778060</v>
      </c>
      <c r="J27" s="573">
        <v>2179514</v>
      </c>
      <c r="K27" s="573">
        <v>0</v>
      </c>
      <c r="L27" s="573">
        <v>0</v>
      </c>
      <c r="M27" s="573">
        <f t="shared" si="17"/>
        <v>10598546</v>
      </c>
      <c r="N27" s="573">
        <v>0</v>
      </c>
      <c r="O27" s="573">
        <v>0</v>
      </c>
      <c r="P27" s="573">
        <v>0</v>
      </c>
      <c r="Q27" s="573">
        <v>0</v>
      </c>
      <c r="R27" s="573">
        <v>21142670</v>
      </c>
      <c r="S27" s="564">
        <f t="shared" si="21"/>
        <v>31741216</v>
      </c>
      <c r="T27" s="483">
        <f t="shared" si="1"/>
        <v>17.056689356600295</v>
      </c>
      <c r="U27" s="488">
        <f t="shared" si="8"/>
        <v>0.3767035674055364</v>
      </c>
      <c r="V27" s="465"/>
      <c r="W27" s="543">
        <f t="shared" si="22"/>
        <v>0</v>
      </c>
      <c r="X27" s="447">
        <f t="shared" si="3"/>
        <v>31741216</v>
      </c>
      <c r="Y27" s="544" t="str">
        <f t="shared" si="4"/>
        <v>Đ</v>
      </c>
      <c r="Z27" s="497">
        <f t="shared" si="5"/>
        <v>10598546</v>
      </c>
      <c r="AA27" s="497">
        <v>20070651</v>
      </c>
      <c r="AB27" s="498">
        <f t="shared" si="9"/>
        <v>-47.19381050470162</v>
      </c>
      <c r="AC27" s="497">
        <f t="shared" si="10"/>
        <v>-9472105</v>
      </c>
    </row>
    <row r="28" spans="1:29" ht="19.5" customHeight="1">
      <c r="A28" s="486" t="s">
        <v>107</v>
      </c>
      <c r="B28" s="556" t="s">
        <v>548</v>
      </c>
      <c r="C28" s="481">
        <f t="shared" si="18"/>
        <v>5725506</v>
      </c>
      <c r="D28" s="573">
        <v>5514697</v>
      </c>
      <c r="E28" s="573">
        <v>210809</v>
      </c>
      <c r="F28" s="573">
        <v>0</v>
      </c>
      <c r="G28" s="573">
        <v>0</v>
      </c>
      <c r="H28" s="481">
        <f t="shared" si="19"/>
        <v>5725506</v>
      </c>
      <c r="I28" s="481">
        <f t="shared" si="20"/>
        <v>2797144</v>
      </c>
      <c r="J28" s="573">
        <v>28296</v>
      </c>
      <c r="K28" s="573">
        <v>191</v>
      </c>
      <c r="L28" s="573">
        <v>0</v>
      </c>
      <c r="M28" s="573">
        <f t="shared" si="17"/>
        <v>2768657</v>
      </c>
      <c r="N28" s="573">
        <v>0</v>
      </c>
      <c r="O28" s="573">
        <v>0</v>
      </c>
      <c r="P28" s="573">
        <v>0</v>
      </c>
      <c r="Q28" s="573">
        <v>0</v>
      </c>
      <c r="R28" s="573">
        <v>2928362</v>
      </c>
      <c r="S28" s="564">
        <f t="shared" si="21"/>
        <v>5697019</v>
      </c>
      <c r="T28" s="483">
        <f t="shared" si="1"/>
        <v>1.0184316574334393</v>
      </c>
      <c r="U28" s="488">
        <f t="shared" si="8"/>
        <v>0.48854092546580163</v>
      </c>
      <c r="V28" s="465"/>
      <c r="W28" s="543">
        <f t="shared" si="22"/>
        <v>0</v>
      </c>
      <c r="X28" s="447">
        <f t="shared" si="3"/>
        <v>5697019</v>
      </c>
      <c r="Y28" s="544" t="str">
        <f t="shared" si="4"/>
        <v>Đ</v>
      </c>
      <c r="Z28" s="497">
        <f t="shared" si="5"/>
        <v>2768657</v>
      </c>
      <c r="AA28" s="497">
        <v>15435860</v>
      </c>
      <c r="AB28" s="498">
        <f t="shared" si="9"/>
        <v>-82.06347427354225</v>
      </c>
      <c r="AC28" s="497">
        <f t="shared" si="10"/>
        <v>-12667203</v>
      </c>
    </row>
    <row r="29" spans="1:29" ht="19.5" customHeight="1">
      <c r="A29" s="486" t="s">
        <v>109</v>
      </c>
      <c r="B29" s="556" t="s">
        <v>499</v>
      </c>
      <c r="C29" s="481">
        <f t="shared" si="18"/>
        <v>25217205</v>
      </c>
      <c r="D29" s="573">
        <v>24485135</v>
      </c>
      <c r="E29" s="573">
        <v>732070</v>
      </c>
      <c r="F29" s="573">
        <v>0</v>
      </c>
      <c r="G29" s="573">
        <v>0</v>
      </c>
      <c r="H29" s="481">
        <f t="shared" si="19"/>
        <v>25217205</v>
      </c>
      <c r="I29" s="481">
        <f t="shared" si="20"/>
        <v>8203625</v>
      </c>
      <c r="J29" s="573">
        <v>167446</v>
      </c>
      <c r="K29" s="573">
        <v>84070</v>
      </c>
      <c r="L29" s="573">
        <v>0</v>
      </c>
      <c r="M29" s="573">
        <f t="shared" si="17"/>
        <v>7625402</v>
      </c>
      <c r="N29" s="573">
        <v>102625</v>
      </c>
      <c r="O29" s="573">
        <v>0</v>
      </c>
      <c r="P29" s="573">
        <v>0</v>
      </c>
      <c r="Q29" s="573">
        <v>224082</v>
      </c>
      <c r="R29" s="573">
        <v>17013580</v>
      </c>
      <c r="S29" s="564">
        <f t="shared" si="21"/>
        <v>24965689</v>
      </c>
      <c r="T29" s="483">
        <f t="shared" si="1"/>
        <v>3.0659129348306386</v>
      </c>
      <c r="U29" s="488">
        <f t="shared" si="8"/>
        <v>0.32531856722424235</v>
      </c>
      <c r="V29" s="465"/>
      <c r="W29" s="543">
        <f t="shared" si="22"/>
        <v>0</v>
      </c>
      <c r="X29" s="447">
        <f t="shared" si="3"/>
        <v>24965689</v>
      </c>
      <c r="Y29" s="544" t="str">
        <f t="shared" si="4"/>
        <v>Đ</v>
      </c>
      <c r="Z29" s="497">
        <f t="shared" si="5"/>
        <v>7952109</v>
      </c>
      <c r="AA29" s="497"/>
      <c r="AB29" s="498"/>
      <c r="AC29" s="497"/>
    </row>
    <row r="30" spans="1:29" ht="19.5" customHeight="1">
      <c r="A30" s="486" t="s">
        <v>110</v>
      </c>
      <c r="B30" s="556" t="s">
        <v>538</v>
      </c>
      <c r="C30" s="481">
        <f t="shared" si="18"/>
        <v>20273802</v>
      </c>
      <c r="D30" s="573">
        <v>16765140</v>
      </c>
      <c r="E30" s="573">
        <v>3508662</v>
      </c>
      <c r="F30" s="573">
        <v>0</v>
      </c>
      <c r="G30" s="573">
        <v>0</v>
      </c>
      <c r="H30" s="481">
        <f t="shared" si="19"/>
        <v>20273802</v>
      </c>
      <c r="I30" s="481">
        <f t="shared" si="20"/>
        <v>10648217</v>
      </c>
      <c r="J30" s="573">
        <v>3168751</v>
      </c>
      <c r="K30" s="573">
        <v>165411</v>
      </c>
      <c r="L30" s="573">
        <v>0</v>
      </c>
      <c r="M30" s="573">
        <f t="shared" si="17"/>
        <v>6492176</v>
      </c>
      <c r="N30" s="573">
        <v>821879</v>
      </c>
      <c r="O30" s="573">
        <v>0</v>
      </c>
      <c r="P30" s="573">
        <v>0</v>
      </c>
      <c r="Q30" s="573">
        <v>0</v>
      </c>
      <c r="R30" s="573">
        <v>9625585</v>
      </c>
      <c r="S30" s="564">
        <f t="shared" si="21"/>
        <v>16939640</v>
      </c>
      <c r="T30" s="483">
        <f t="shared" si="1"/>
        <v>31.31192762130975</v>
      </c>
      <c r="U30" s="488">
        <f t="shared" si="8"/>
        <v>0.5252205284435549</v>
      </c>
      <c r="V30" s="465"/>
      <c r="W30" s="543">
        <f>+C30-(F30+G30+H30)</f>
        <v>0</v>
      </c>
      <c r="X30" s="447">
        <f t="shared" si="3"/>
        <v>16939640</v>
      </c>
      <c r="Y30" s="544" t="str">
        <f t="shared" si="4"/>
        <v>Đ</v>
      </c>
      <c r="Z30" s="497">
        <f t="shared" si="5"/>
        <v>7314055</v>
      </c>
      <c r="AA30" s="497">
        <v>13090299</v>
      </c>
      <c r="AB30" s="498">
        <f t="shared" si="9"/>
        <v>-44.12614257321395</v>
      </c>
      <c r="AC30" s="497">
        <f t="shared" si="10"/>
        <v>-5776244</v>
      </c>
    </row>
    <row r="31" spans="1:29" ht="19.5" customHeight="1">
      <c r="A31" s="486" t="s">
        <v>123</v>
      </c>
      <c r="B31" s="556" t="s">
        <v>576</v>
      </c>
      <c r="C31" s="481">
        <f t="shared" si="18"/>
        <v>19386887</v>
      </c>
      <c r="D31" s="573">
        <v>17339992</v>
      </c>
      <c r="E31" s="573">
        <v>2046895</v>
      </c>
      <c r="F31" s="573">
        <v>0</v>
      </c>
      <c r="G31" s="573">
        <v>0</v>
      </c>
      <c r="H31" s="481">
        <f t="shared" si="19"/>
        <v>19386887</v>
      </c>
      <c r="I31" s="481">
        <f t="shared" si="20"/>
        <v>12403119</v>
      </c>
      <c r="J31" s="573">
        <f>1613838+150</f>
        <v>1613988</v>
      </c>
      <c r="K31" s="573">
        <v>0</v>
      </c>
      <c r="L31" s="573">
        <v>0</v>
      </c>
      <c r="M31" s="573">
        <f t="shared" si="17"/>
        <v>10673031</v>
      </c>
      <c r="N31" s="573">
        <v>0</v>
      </c>
      <c r="O31" s="573">
        <v>0</v>
      </c>
      <c r="P31" s="573">
        <v>0</v>
      </c>
      <c r="Q31" s="573">
        <v>116100</v>
      </c>
      <c r="R31" s="573">
        <v>6983768</v>
      </c>
      <c r="S31" s="564">
        <f t="shared" si="21"/>
        <v>17772899</v>
      </c>
      <c r="T31" s="483">
        <f t="shared" si="1"/>
        <v>13.012759129377056</v>
      </c>
      <c r="U31" s="488">
        <f t="shared" si="8"/>
        <v>0.6397684682435091</v>
      </c>
      <c r="V31" s="465"/>
      <c r="W31" s="543">
        <f t="shared" si="22"/>
        <v>0</v>
      </c>
      <c r="X31" s="447">
        <f t="shared" si="3"/>
        <v>17772899</v>
      </c>
      <c r="Y31" s="544" t="str">
        <f t="shared" si="4"/>
        <v>Đ</v>
      </c>
      <c r="Z31" s="497">
        <f t="shared" si="5"/>
        <v>10789131</v>
      </c>
      <c r="AA31" s="497">
        <v>4216115</v>
      </c>
      <c r="AB31" s="498">
        <f t="shared" si="9"/>
        <v>155.902199062407</v>
      </c>
      <c r="AC31" s="497">
        <f t="shared" si="10"/>
        <v>6573016</v>
      </c>
    </row>
    <row r="32" spans="1:29" ht="19.5" customHeight="1">
      <c r="A32" s="562" t="s">
        <v>44</v>
      </c>
      <c r="B32" s="563" t="s">
        <v>497</v>
      </c>
      <c r="C32" s="481">
        <f>+C33+C34+C35+C36+C37</f>
        <v>80747711</v>
      </c>
      <c r="D32" s="481">
        <f aca="true" t="shared" si="23" ref="D32:S32">+D33+D34+D35+D36+D37</f>
        <v>70734376</v>
      </c>
      <c r="E32" s="481">
        <f t="shared" si="23"/>
        <v>10013335</v>
      </c>
      <c r="F32" s="481">
        <f t="shared" si="23"/>
        <v>1189766</v>
      </c>
      <c r="G32" s="481">
        <f t="shared" si="23"/>
        <v>0</v>
      </c>
      <c r="H32" s="481">
        <f t="shared" si="23"/>
        <v>79557945</v>
      </c>
      <c r="I32" s="481">
        <f t="shared" si="23"/>
        <v>58194355</v>
      </c>
      <c r="J32" s="481">
        <f t="shared" si="23"/>
        <v>687859</v>
      </c>
      <c r="K32" s="481">
        <f t="shared" si="23"/>
        <v>34882</v>
      </c>
      <c r="L32" s="481">
        <f t="shared" si="23"/>
        <v>0</v>
      </c>
      <c r="M32" s="481">
        <f t="shared" si="23"/>
        <v>57471614</v>
      </c>
      <c r="N32" s="481">
        <f t="shared" si="23"/>
        <v>0</v>
      </c>
      <c r="O32" s="481">
        <f t="shared" si="23"/>
        <v>0</v>
      </c>
      <c r="P32" s="481">
        <f t="shared" si="23"/>
        <v>0</v>
      </c>
      <c r="Q32" s="481">
        <f t="shared" si="23"/>
        <v>0</v>
      </c>
      <c r="R32" s="481">
        <f t="shared" si="23"/>
        <v>21363590</v>
      </c>
      <c r="S32" s="481">
        <f t="shared" si="23"/>
        <v>78835204</v>
      </c>
      <c r="T32" s="561">
        <f t="shared" si="1"/>
        <v>1.2419434840372403</v>
      </c>
      <c r="U32" s="488">
        <f t="shared" si="8"/>
        <v>0.7314713194263628</v>
      </c>
      <c r="V32" s="505">
        <f>+V33+V34+V35+V36+V37</f>
        <v>0</v>
      </c>
      <c r="W32" s="543">
        <f t="shared" si="22"/>
        <v>0</v>
      </c>
      <c r="X32" s="447">
        <f t="shared" si="3"/>
        <v>78835204</v>
      </c>
      <c r="Y32" s="544" t="str">
        <f t="shared" si="4"/>
        <v>Đ</v>
      </c>
      <c r="Z32" s="496">
        <f t="shared" si="5"/>
        <v>57471614</v>
      </c>
      <c r="AA32" s="496">
        <v>19390422</v>
      </c>
      <c r="AB32" s="498">
        <f t="shared" si="9"/>
        <v>196.39176496519778</v>
      </c>
      <c r="AC32" s="497">
        <f t="shared" si="10"/>
        <v>38081192</v>
      </c>
    </row>
    <row r="33" spans="1:29" ht="19.5" customHeight="1">
      <c r="A33" s="486" t="s">
        <v>47</v>
      </c>
      <c r="B33" s="565" t="s">
        <v>542</v>
      </c>
      <c r="C33" s="481">
        <f>+D33+E33</f>
        <v>9074298</v>
      </c>
      <c r="D33" s="1004">
        <v>8636338</v>
      </c>
      <c r="E33" s="1004">
        <v>437960</v>
      </c>
      <c r="F33" s="535">
        <v>1103666</v>
      </c>
      <c r="G33" s="535"/>
      <c r="H33" s="481">
        <f>SUM(I33,R33)</f>
        <v>7970632</v>
      </c>
      <c r="I33" s="481">
        <f>+J33+K33+L33+M33+N33+O33+P33+Q33</f>
        <v>5793315</v>
      </c>
      <c r="J33" s="535">
        <v>514210</v>
      </c>
      <c r="K33" s="535">
        <v>0</v>
      </c>
      <c r="L33" s="535">
        <v>0</v>
      </c>
      <c r="M33" s="535">
        <v>5279105</v>
      </c>
      <c r="N33" s="535">
        <v>0</v>
      </c>
      <c r="O33" s="535">
        <v>0</v>
      </c>
      <c r="P33" s="535">
        <v>0</v>
      </c>
      <c r="Q33" s="535">
        <v>0</v>
      </c>
      <c r="R33" s="535">
        <v>2177317</v>
      </c>
      <c r="S33" s="564">
        <f t="shared" si="21"/>
        <v>7456422</v>
      </c>
      <c r="T33" s="483">
        <f t="shared" si="1"/>
        <v>8.875919918043468</v>
      </c>
      <c r="U33" s="488">
        <f t="shared" si="8"/>
        <v>0.7268325773916046</v>
      </c>
      <c r="V33" s="465"/>
      <c r="W33" s="543">
        <f t="shared" si="22"/>
        <v>0</v>
      </c>
      <c r="X33" s="447">
        <f t="shared" si="3"/>
        <v>7456422</v>
      </c>
      <c r="Y33" s="544" t="str">
        <f t="shared" si="4"/>
        <v>Đ</v>
      </c>
      <c r="Z33" s="497">
        <f t="shared" si="5"/>
        <v>5279105</v>
      </c>
      <c r="AA33" s="497">
        <v>1520681</v>
      </c>
      <c r="AB33" s="498">
        <f t="shared" si="9"/>
        <v>247.15400534365855</v>
      </c>
      <c r="AC33" s="497">
        <f t="shared" si="10"/>
        <v>3758424</v>
      </c>
    </row>
    <row r="34" spans="1:29" ht="19.5" customHeight="1">
      <c r="A34" s="486" t="s">
        <v>48</v>
      </c>
      <c r="B34" s="566" t="s">
        <v>496</v>
      </c>
      <c r="C34" s="481">
        <f aca="true" t="shared" si="24" ref="C34:C46">+D34+E34</f>
        <v>10653736</v>
      </c>
      <c r="D34" s="1004">
        <v>10505794</v>
      </c>
      <c r="E34" s="1004">
        <v>147942</v>
      </c>
      <c r="F34" s="535"/>
      <c r="G34" s="535"/>
      <c r="H34" s="481">
        <f>SUM(I34,R34)</f>
        <v>10653736</v>
      </c>
      <c r="I34" s="481">
        <f>+J34+K34+L34+M34+N34+O34+P34+Q34</f>
        <v>7295360</v>
      </c>
      <c r="J34" s="535">
        <v>52606</v>
      </c>
      <c r="K34" s="535"/>
      <c r="L34" s="535"/>
      <c r="M34" s="535">
        <v>7242754</v>
      </c>
      <c r="N34" s="535"/>
      <c r="O34" s="535"/>
      <c r="P34" s="535"/>
      <c r="Q34" s="535"/>
      <c r="R34" s="535">
        <v>3358376</v>
      </c>
      <c r="S34" s="564">
        <f t="shared" si="21"/>
        <v>10601130</v>
      </c>
      <c r="T34" s="483">
        <f t="shared" si="1"/>
        <v>0.7210884726730415</v>
      </c>
      <c r="U34" s="488">
        <f t="shared" si="8"/>
        <v>0.6847701125689617</v>
      </c>
      <c r="V34" s="465"/>
      <c r="W34" s="543">
        <f t="shared" si="22"/>
        <v>0</v>
      </c>
      <c r="X34" s="447">
        <f t="shared" si="3"/>
        <v>10601130</v>
      </c>
      <c r="Y34" s="544" t="str">
        <f t="shared" si="4"/>
        <v>Đ</v>
      </c>
      <c r="Z34" s="497">
        <f t="shared" si="5"/>
        <v>7242754</v>
      </c>
      <c r="AA34" s="497">
        <v>3242021</v>
      </c>
      <c r="AB34" s="498">
        <f t="shared" si="9"/>
        <v>123.40243940430983</v>
      </c>
      <c r="AC34" s="497">
        <f t="shared" si="10"/>
        <v>4000733</v>
      </c>
    </row>
    <row r="35" spans="1:29" ht="19.5" customHeight="1">
      <c r="A35" s="486" t="s">
        <v>495</v>
      </c>
      <c r="B35" s="566" t="s">
        <v>500</v>
      </c>
      <c r="C35" s="481">
        <f t="shared" si="24"/>
        <v>32140123</v>
      </c>
      <c r="D35" s="1004">
        <v>29393256</v>
      </c>
      <c r="E35" s="535">
        <v>2746867</v>
      </c>
      <c r="F35" s="535">
        <v>86100</v>
      </c>
      <c r="G35" s="535">
        <v>0</v>
      </c>
      <c r="H35" s="481">
        <f>SUM(I35,R35)</f>
        <v>32054023</v>
      </c>
      <c r="I35" s="481">
        <f>+J35+K35+L35+M35+N35+O35+P35+Q35</f>
        <v>24593862</v>
      </c>
      <c r="J35" s="535">
        <v>86012</v>
      </c>
      <c r="K35" s="535">
        <v>34882</v>
      </c>
      <c r="L35" s="535"/>
      <c r="M35" s="535">
        <v>24472968</v>
      </c>
      <c r="N35" s="535"/>
      <c r="O35" s="535"/>
      <c r="P35" s="535"/>
      <c r="Q35" s="535">
        <v>0</v>
      </c>
      <c r="R35" s="535">
        <v>7460161</v>
      </c>
      <c r="S35" s="564">
        <f t="shared" si="21"/>
        <v>31933129</v>
      </c>
      <c r="T35" s="483">
        <f t="shared" si="1"/>
        <v>0.4915616750228166</v>
      </c>
      <c r="U35" s="488">
        <f t="shared" si="8"/>
        <v>0.7672628799199401</v>
      </c>
      <c r="V35" s="465"/>
      <c r="W35" s="543">
        <f t="shared" si="22"/>
        <v>0</v>
      </c>
      <c r="X35" s="447">
        <f t="shared" si="3"/>
        <v>31933129</v>
      </c>
      <c r="Y35" s="544" t="str">
        <f t="shared" si="4"/>
        <v>Đ</v>
      </c>
      <c r="Z35" s="497"/>
      <c r="AA35" s="497"/>
      <c r="AB35" s="498"/>
      <c r="AC35" s="497"/>
    </row>
    <row r="36" spans="1:29" ht="19.5" customHeight="1">
      <c r="A36" s="486" t="s">
        <v>493</v>
      </c>
      <c r="B36" s="566" t="s">
        <v>492</v>
      </c>
      <c r="C36" s="481">
        <f t="shared" si="24"/>
        <v>11110984</v>
      </c>
      <c r="D36" s="1004">
        <v>9255235</v>
      </c>
      <c r="E36" s="535">
        <v>1855749</v>
      </c>
      <c r="F36" s="535"/>
      <c r="G36" s="535"/>
      <c r="H36" s="481">
        <f>SUM(I36,R36)</f>
        <v>11110984</v>
      </c>
      <c r="I36" s="481">
        <f>+J36+K36+L36+M36+N36+O36+P36+Q36</f>
        <v>6301324</v>
      </c>
      <c r="J36" s="535">
        <v>12868</v>
      </c>
      <c r="K36" s="535"/>
      <c r="L36" s="535"/>
      <c r="M36" s="535">
        <v>6288456</v>
      </c>
      <c r="N36" s="535"/>
      <c r="O36" s="535"/>
      <c r="P36" s="535"/>
      <c r="Q36" s="535"/>
      <c r="R36" s="535">
        <v>4809660</v>
      </c>
      <c r="S36" s="564">
        <f t="shared" si="21"/>
        <v>11098116</v>
      </c>
      <c r="T36" s="483">
        <f t="shared" si="1"/>
        <v>0.2042110515186967</v>
      </c>
      <c r="U36" s="488">
        <f t="shared" si="8"/>
        <v>0.5671256479174122</v>
      </c>
      <c r="V36" s="465"/>
      <c r="W36" s="543">
        <f t="shared" si="22"/>
        <v>0</v>
      </c>
      <c r="X36" s="447">
        <f t="shared" si="3"/>
        <v>11098116</v>
      </c>
      <c r="Y36" s="544" t="str">
        <f t="shared" si="4"/>
        <v>Đ</v>
      </c>
      <c r="Z36" s="497">
        <f t="shared" si="5"/>
        <v>6288456</v>
      </c>
      <c r="AA36" s="497">
        <v>3284174</v>
      </c>
      <c r="AB36" s="498">
        <f t="shared" si="9"/>
        <v>91.47755265098621</v>
      </c>
      <c r="AC36" s="497">
        <f t="shared" si="10"/>
        <v>3004282</v>
      </c>
    </row>
    <row r="37" spans="1:29" ht="19.5" customHeight="1">
      <c r="A37" s="486" t="s">
        <v>549</v>
      </c>
      <c r="B37" s="566" t="s">
        <v>550</v>
      </c>
      <c r="C37" s="481">
        <f t="shared" si="24"/>
        <v>17768570</v>
      </c>
      <c r="D37" s="1004">
        <v>12943753</v>
      </c>
      <c r="E37" s="535">
        <v>4824817</v>
      </c>
      <c r="F37" s="535"/>
      <c r="G37" s="535"/>
      <c r="H37" s="481">
        <f>SUM(I37,R37)</f>
        <v>17768570</v>
      </c>
      <c r="I37" s="481">
        <f>+J37+K37+L37+M37+N37+O37+P37+Q37</f>
        <v>14210494</v>
      </c>
      <c r="J37" s="535">
        <v>22163</v>
      </c>
      <c r="K37" s="535"/>
      <c r="L37" s="535"/>
      <c r="M37" s="535">
        <v>14188331</v>
      </c>
      <c r="N37" s="535"/>
      <c r="O37" s="535"/>
      <c r="P37" s="535"/>
      <c r="Q37" s="535">
        <v>0</v>
      </c>
      <c r="R37" s="535">
        <v>3558076</v>
      </c>
      <c r="S37" s="564">
        <f t="shared" si="21"/>
        <v>17746407</v>
      </c>
      <c r="T37" s="483">
        <f t="shared" si="1"/>
        <v>0.15596220652146225</v>
      </c>
      <c r="U37" s="488">
        <f t="shared" si="8"/>
        <v>0.7997545103517053</v>
      </c>
      <c r="V37" s="465"/>
      <c r="W37" s="543">
        <f t="shared" si="22"/>
        <v>0</v>
      </c>
      <c r="X37" s="447">
        <f t="shared" si="3"/>
        <v>17746407</v>
      </c>
      <c r="Y37" s="544" t="str">
        <f t="shared" si="4"/>
        <v>Đ</v>
      </c>
      <c r="Z37" s="497">
        <f t="shared" si="5"/>
        <v>14188331</v>
      </c>
      <c r="AA37" s="497">
        <v>5203801</v>
      </c>
      <c r="AB37" s="498">
        <f t="shared" si="9"/>
        <v>172.6532202134555</v>
      </c>
      <c r="AC37" s="497">
        <f t="shared" si="10"/>
        <v>8984530</v>
      </c>
    </row>
    <row r="38" spans="1:29" ht="19.5" customHeight="1">
      <c r="A38" s="562" t="s">
        <v>49</v>
      </c>
      <c r="B38" s="563" t="s">
        <v>491</v>
      </c>
      <c r="C38" s="481">
        <f>+C39+C40+C42+C43+C41</f>
        <v>43211763</v>
      </c>
      <c r="D38" s="481">
        <f aca="true" t="shared" si="25" ref="D38:S38">+D39+D40+D42+D43+D41</f>
        <v>40482002</v>
      </c>
      <c r="E38" s="481">
        <f t="shared" si="25"/>
        <v>2729761</v>
      </c>
      <c r="F38" s="481">
        <f t="shared" si="25"/>
        <v>0</v>
      </c>
      <c r="G38" s="481">
        <f t="shared" si="25"/>
        <v>0</v>
      </c>
      <c r="H38" s="481">
        <f t="shared" si="25"/>
        <v>43211763</v>
      </c>
      <c r="I38" s="481">
        <f t="shared" si="25"/>
        <v>16649768</v>
      </c>
      <c r="J38" s="481">
        <f t="shared" si="25"/>
        <v>330545</v>
      </c>
      <c r="K38" s="481">
        <f t="shared" si="25"/>
        <v>163731</v>
      </c>
      <c r="L38" s="481">
        <f t="shared" si="25"/>
        <v>0</v>
      </c>
      <c r="M38" s="481">
        <f t="shared" si="25"/>
        <v>15382126</v>
      </c>
      <c r="N38" s="481">
        <f t="shared" si="25"/>
        <v>396967</v>
      </c>
      <c r="O38" s="481">
        <f t="shared" si="25"/>
        <v>0</v>
      </c>
      <c r="P38" s="481">
        <f t="shared" si="25"/>
        <v>0</v>
      </c>
      <c r="Q38" s="481">
        <f t="shared" si="25"/>
        <v>376399</v>
      </c>
      <c r="R38" s="481">
        <f t="shared" si="25"/>
        <v>26561995</v>
      </c>
      <c r="S38" s="481">
        <f t="shared" si="25"/>
        <v>42717487</v>
      </c>
      <c r="T38" s="483">
        <f t="shared" si="1"/>
        <v>2.9686659898203986</v>
      </c>
      <c r="U38" s="488">
        <f t="shared" si="8"/>
        <v>0.3853063805797509</v>
      </c>
      <c r="V38" s="505">
        <f>+V39+V40+V42+V43</f>
        <v>0</v>
      </c>
      <c r="W38" s="543">
        <f t="shared" si="22"/>
        <v>0</v>
      </c>
      <c r="X38" s="447">
        <f t="shared" si="3"/>
        <v>42717487</v>
      </c>
      <c r="Y38" s="544" t="str">
        <f t="shared" si="4"/>
        <v>Đ</v>
      </c>
      <c r="Z38" s="496">
        <f t="shared" si="5"/>
        <v>16155492</v>
      </c>
      <c r="AA38" s="496" t="e">
        <f>+AA39+AA40+AA42+#REF!</f>
        <v>#REF!</v>
      </c>
      <c r="AB38" s="498" t="e">
        <f t="shared" si="9"/>
        <v>#REF!</v>
      </c>
      <c r="AC38" s="497" t="e">
        <f t="shared" si="10"/>
        <v>#REF!</v>
      </c>
    </row>
    <row r="39" spans="1:29" ht="19.5" customHeight="1">
      <c r="A39" s="486" t="s">
        <v>113</v>
      </c>
      <c r="B39" s="580" t="s">
        <v>504</v>
      </c>
      <c r="C39" s="481">
        <f t="shared" si="24"/>
        <v>376699</v>
      </c>
      <c r="D39" s="575"/>
      <c r="E39" s="581">
        <v>376699</v>
      </c>
      <c r="F39" s="575"/>
      <c r="G39" s="575"/>
      <c r="H39" s="481">
        <f aca="true" t="shared" si="26" ref="H39:H79">+I39+R39</f>
        <v>376699</v>
      </c>
      <c r="I39" s="481">
        <f>+J39+K39+L39+M39+N39+O39+P39+Q39</f>
        <v>376699</v>
      </c>
      <c r="J39" s="582">
        <v>300</v>
      </c>
      <c r="K39" s="575"/>
      <c r="L39" s="575"/>
      <c r="M39" s="575"/>
      <c r="N39" s="575"/>
      <c r="O39" s="575"/>
      <c r="P39" s="575"/>
      <c r="Q39" s="582">
        <v>376399</v>
      </c>
      <c r="R39" s="575"/>
      <c r="S39" s="482">
        <f aca="true" t="shared" si="27" ref="S39:S44">+R39+Q39+P39+O39+N39+M39</f>
        <v>376399</v>
      </c>
      <c r="T39" s="483">
        <f t="shared" si="1"/>
        <v>0.07963918141540063</v>
      </c>
      <c r="U39" s="488">
        <f t="shared" si="8"/>
        <v>1</v>
      </c>
      <c r="V39" s="465"/>
      <c r="W39" s="543">
        <f t="shared" si="22"/>
        <v>0</v>
      </c>
      <c r="X39" s="447">
        <f t="shared" si="3"/>
        <v>376399</v>
      </c>
      <c r="Y39" s="544" t="str">
        <f t="shared" si="4"/>
        <v>Đ</v>
      </c>
      <c r="Z39" s="497">
        <f t="shared" si="5"/>
        <v>376399</v>
      </c>
      <c r="AA39" s="497">
        <v>1125967</v>
      </c>
      <c r="AB39" s="498">
        <f t="shared" si="9"/>
        <v>-66.57104515496458</v>
      </c>
      <c r="AC39" s="497">
        <f t="shared" si="10"/>
        <v>-749568</v>
      </c>
    </row>
    <row r="40" spans="1:29" ht="19.5" customHeight="1">
      <c r="A40" s="486" t="s">
        <v>114</v>
      </c>
      <c r="B40" s="508" t="s">
        <v>490</v>
      </c>
      <c r="C40" s="481">
        <f t="shared" si="24"/>
        <v>9491656</v>
      </c>
      <c r="D40" s="525">
        <v>8646278</v>
      </c>
      <c r="E40" s="525">
        <v>845378</v>
      </c>
      <c r="F40" s="525">
        <v>0</v>
      </c>
      <c r="G40" s="506"/>
      <c r="H40" s="481">
        <f t="shared" si="26"/>
        <v>9491656</v>
      </c>
      <c r="I40" s="481">
        <f>+J40+K40+L40+M40+N40+O40+P40+Q40</f>
        <v>4526073</v>
      </c>
      <c r="J40" s="525">
        <v>450</v>
      </c>
      <c r="K40" s="525"/>
      <c r="L40" s="525">
        <v>0</v>
      </c>
      <c r="M40" s="525">
        <v>4525623</v>
      </c>
      <c r="N40" s="525"/>
      <c r="O40" s="525"/>
      <c r="P40" s="525"/>
      <c r="Q40" s="525"/>
      <c r="R40" s="525">
        <v>4965583</v>
      </c>
      <c r="S40" s="482">
        <f t="shared" si="27"/>
        <v>9491206</v>
      </c>
      <c r="T40" s="483">
        <f t="shared" si="1"/>
        <v>0.00994239377049376</v>
      </c>
      <c r="U40" s="488">
        <f t="shared" si="8"/>
        <v>0.4768475595828589</v>
      </c>
      <c r="V40" s="465"/>
      <c r="W40" s="543">
        <f t="shared" si="22"/>
        <v>0</v>
      </c>
      <c r="X40" s="447">
        <f t="shared" si="3"/>
        <v>9491206</v>
      </c>
      <c r="Y40" s="544" t="str">
        <f t="shared" si="4"/>
        <v>Đ</v>
      </c>
      <c r="Z40" s="497">
        <f t="shared" si="5"/>
        <v>4525623</v>
      </c>
      <c r="AA40" s="497">
        <v>3997241</v>
      </c>
      <c r="AB40" s="498">
        <f t="shared" si="9"/>
        <v>13.218667575960518</v>
      </c>
      <c r="AC40" s="497">
        <f t="shared" si="10"/>
        <v>528382</v>
      </c>
    </row>
    <row r="41" spans="1:29" ht="19.5" customHeight="1">
      <c r="A41" s="486" t="s">
        <v>115</v>
      </c>
      <c r="B41" s="508" t="s">
        <v>489</v>
      </c>
      <c r="C41" s="481">
        <f t="shared" si="24"/>
        <v>9619939</v>
      </c>
      <c r="D41" s="525">
        <v>8920285</v>
      </c>
      <c r="E41" s="525">
        <v>699654</v>
      </c>
      <c r="F41" s="525"/>
      <c r="G41" s="506"/>
      <c r="H41" s="481">
        <f t="shared" si="26"/>
        <v>9619939</v>
      </c>
      <c r="I41" s="481">
        <f>+J41+K41+L41+M41+N41+O41+P41+Q41</f>
        <v>2544184</v>
      </c>
      <c r="J41" s="525">
        <v>1500</v>
      </c>
      <c r="K41" s="525"/>
      <c r="L41" s="525">
        <v>0</v>
      </c>
      <c r="M41" s="525">
        <v>2542684</v>
      </c>
      <c r="N41" s="525"/>
      <c r="O41" s="525"/>
      <c r="P41" s="525"/>
      <c r="Q41" s="525"/>
      <c r="R41" s="525">
        <v>7075755</v>
      </c>
      <c r="S41" s="482">
        <f t="shared" si="27"/>
        <v>9618439</v>
      </c>
      <c r="T41" s="483">
        <f t="shared" si="1"/>
        <v>0.058957999893089495</v>
      </c>
      <c r="U41" s="488">
        <f t="shared" si="8"/>
        <v>0.2644698682600794</v>
      </c>
      <c r="V41" s="465"/>
      <c r="W41" s="543">
        <f t="shared" si="22"/>
        <v>0</v>
      </c>
      <c r="X41" s="447">
        <f t="shared" si="3"/>
        <v>9618439</v>
      </c>
      <c r="Y41" s="544" t="str">
        <f t="shared" si="4"/>
        <v>Đ</v>
      </c>
      <c r="Z41" s="497"/>
      <c r="AA41" s="497"/>
      <c r="AB41" s="498"/>
      <c r="AC41" s="497"/>
    </row>
    <row r="42" spans="1:29" ht="19.5" customHeight="1">
      <c r="A42" s="486" t="s">
        <v>488</v>
      </c>
      <c r="B42" s="508" t="s">
        <v>561</v>
      </c>
      <c r="C42" s="481">
        <f t="shared" si="24"/>
        <v>12551838</v>
      </c>
      <c r="D42" s="525">
        <v>12350811</v>
      </c>
      <c r="E42" s="525">
        <v>201027</v>
      </c>
      <c r="F42" s="525"/>
      <c r="G42" s="506"/>
      <c r="H42" s="481">
        <f t="shared" si="26"/>
        <v>12551838</v>
      </c>
      <c r="I42" s="481">
        <f>+J42+K42+L42+M42+N42+O42+P42+Q42</f>
        <v>5275953</v>
      </c>
      <c r="J42" s="525">
        <v>327095</v>
      </c>
      <c r="K42" s="525">
        <v>163731</v>
      </c>
      <c r="L42" s="525"/>
      <c r="M42" s="525">
        <v>4785127</v>
      </c>
      <c r="N42" s="525"/>
      <c r="O42" s="525"/>
      <c r="P42" s="525"/>
      <c r="Q42" s="525"/>
      <c r="R42" s="525">
        <v>7275885</v>
      </c>
      <c r="S42" s="482">
        <f t="shared" si="27"/>
        <v>12061012</v>
      </c>
      <c r="T42" s="483">
        <f t="shared" si="1"/>
        <v>9.303077567218661</v>
      </c>
      <c r="U42" s="488">
        <f t="shared" si="8"/>
        <v>0.4203331018134555</v>
      </c>
      <c r="V42" s="465"/>
      <c r="W42" s="543">
        <f t="shared" si="22"/>
        <v>0</v>
      </c>
      <c r="X42" s="447">
        <f t="shared" si="3"/>
        <v>12061012</v>
      </c>
      <c r="Y42" s="544" t="str">
        <f t="shared" si="4"/>
        <v>Đ</v>
      </c>
      <c r="Z42" s="497">
        <f t="shared" si="5"/>
        <v>4785127</v>
      </c>
      <c r="AA42" s="497">
        <v>5859265</v>
      </c>
      <c r="AB42" s="498">
        <f t="shared" si="9"/>
        <v>-18.332299358366622</v>
      </c>
      <c r="AC42" s="497">
        <f t="shared" si="10"/>
        <v>-1074138</v>
      </c>
    </row>
    <row r="43" spans="1:29" ht="19.5" customHeight="1">
      <c r="A43" s="486" t="s">
        <v>580</v>
      </c>
      <c r="B43" s="508" t="s">
        <v>562</v>
      </c>
      <c r="C43" s="481">
        <f t="shared" si="24"/>
        <v>11171631</v>
      </c>
      <c r="D43" s="525">
        <v>10564628</v>
      </c>
      <c r="E43" s="525">
        <v>607003</v>
      </c>
      <c r="F43" s="525"/>
      <c r="G43" s="506"/>
      <c r="H43" s="481">
        <f t="shared" si="26"/>
        <v>11171631</v>
      </c>
      <c r="I43" s="481">
        <f>+J43+K43+L43+M43+N43+O43+P43+Q43</f>
        <v>3926859</v>
      </c>
      <c r="J43" s="525">
        <v>1200</v>
      </c>
      <c r="K43" s="525"/>
      <c r="L43" s="525">
        <v>0</v>
      </c>
      <c r="M43" s="525">
        <v>3528692</v>
      </c>
      <c r="N43" s="525">
        <v>396967</v>
      </c>
      <c r="O43" s="525"/>
      <c r="P43" s="525"/>
      <c r="Q43" s="525"/>
      <c r="R43" s="525">
        <v>7244772</v>
      </c>
      <c r="S43" s="482">
        <f t="shared" si="27"/>
        <v>11170431</v>
      </c>
      <c r="T43" s="483">
        <f t="shared" si="1"/>
        <v>0.03055877483759921</v>
      </c>
      <c r="U43" s="488">
        <f t="shared" si="8"/>
        <v>0.35150274834534007</v>
      </c>
      <c r="V43" s="465"/>
      <c r="W43" s="543">
        <f t="shared" si="22"/>
        <v>0</v>
      </c>
      <c r="X43" s="447">
        <f t="shared" si="3"/>
        <v>11170431</v>
      </c>
      <c r="Y43" s="544" t="str">
        <f t="shared" si="4"/>
        <v>Đ</v>
      </c>
      <c r="Z43" s="497"/>
      <c r="AA43" s="497"/>
      <c r="AB43" s="498"/>
      <c r="AC43" s="497"/>
    </row>
    <row r="44" spans="1:29" ht="19.5" customHeight="1">
      <c r="A44" s="562" t="s">
        <v>58</v>
      </c>
      <c r="B44" s="563" t="s">
        <v>487</v>
      </c>
      <c r="C44" s="481">
        <f t="shared" si="24"/>
        <v>30128281</v>
      </c>
      <c r="D44" s="481">
        <f>SUM(D45:D47)</f>
        <v>27522167</v>
      </c>
      <c r="E44" s="481">
        <f>SUM(E45:E47)</f>
        <v>2606114</v>
      </c>
      <c r="F44" s="481">
        <f>SUM(F45:F47)</f>
        <v>0</v>
      </c>
      <c r="G44" s="481">
        <f>SUM(G45:G47)</f>
        <v>0</v>
      </c>
      <c r="H44" s="481">
        <f t="shared" si="26"/>
        <v>30128281</v>
      </c>
      <c r="I44" s="481">
        <f>SUM(J44:Q44)</f>
        <v>17538148</v>
      </c>
      <c r="J44" s="481">
        <f aca="true" t="shared" si="28" ref="J44:R44">SUM(J45:J47)</f>
        <v>246738</v>
      </c>
      <c r="K44" s="481">
        <f t="shared" si="28"/>
        <v>8908</v>
      </c>
      <c r="L44" s="481">
        <f t="shared" si="28"/>
        <v>0</v>
      </c>
      <c r="M44" s="481">
        <f t="shared" si="28"/>
        <v>17282502</v>
      </c>
      <c r="N44" s="481">
        <f t="shared" si="28"/>
        <v>0</v>
      </c>
      <c r="O44" s="481">
        <f t="shared" si="28"/>
        <v>0</v>
      </c>
      <c r="P44" s="481">
        <f t="shared" si="28"/>
        <v>0</v>
      </c>
      <c r="Q44" s="481">
        <f t="shared" si="28"/>
        <v>0</v>
      </c>
      <c r="R44" s="481">
        <f t="shared" si="28"/>
        <v>12590133</v>
      </c>
      <c r="S44" s="482">
        <f t="shared" si="27"/>
        <v>29872635</v>
      </c>
      <c r="T44" s="561">
        <f t="shared" si="1"/>
        <v>1.4576567605655968</v>
      </c>
      <c r="U44" s="488">
        <f t="shared" si="8"/>
        <v>0.5821157868250101</v>
      </c>
      <c r="V44" s="505">
        <f>SUM(V45:V47)</f>
        <v>0</v>
      </c>
      <c r="W44" s="543">
        <f t="shared" si="22"/>
        <v>0</v>
      </c>
      <c r="X44" s="447">
        <f t="shared" si="3"/>
        <v>29872635</v>
      </c>
      <c r="Y44" s="544" t="str">
        <f t="shared" si="4"/>
        <v>Đ</v>
      </c>
      <c r="Z44" s="496">
        <f t="shared" si="5"/>
        <v>17282502</v>
      </c>
      <c r="AA44" s="496" t="e">
        <f>+#REF!+AA45+AA47</f>
        <v>#REF!</v>
      </c>
      <c r="AB44" s="498" t="e">
        <f t="shared" si="9"/>
        <v>#REF!</v>
      </c>
      <c r="AC44" s="497" t="e">
        <f t="shared" si="10"/>
        <v>#REF!</v>
      </c>
    </row>
    <row r="45" spans="1:29" ht="19.5" customHeight="1">
      <c r="A45" s="486" t="s">
        <v>117</v>
      </c>
      <c r="B45" s="508" t="s">
        <v>474</v>
      </c>
      <c r="C45" s="481">
        <f t="shared" si="24"/>
        <v>7372456</v>
      </c>
      <c r="D45" s="567">
        <v>5551041</v>
      </c>
      <c r="E45" s="554">
        <v>1821415</v>
      </c>
      <c r="F45" s="506"/>
      <c r="G45" s="506"/>
      <c r="H45" s="481">
        <f t="shared" si="26"/>
        <v>7372456</v>
      </c>
      <c r="I45" s="481">
        <f>+J45+K45+L45+M45+N45+O45+P45+Q45</f>
        <v>4681506</v>
      </c>
      <c r="J45" s="554">
        <v>99008</v>
      </c>
      <c r="K45" s="554"/>
      <c r="L45" s="486"/>
      <c r="M45" s="554">
        <v>4582498</v>
      </c>
      <c r="N45" s="486"/>
      <c r="O45" s="486"/>
      <c r="P45" s="486"/>
      <c r="Q45" s="486"/>
      <c r="R45" s="555">
        <v>2690950</v>
      </c>
      <c r="S45" s="482">
        <f aca="true" t="shared" si="29" ref="S45:S53">+R45+Q45+P45+O45+N45+M45</f>
        <v>7273448</v>
      </c>
      <c r="T45" s="483">
        <f aca="true" t="shared" si="30" ref="T45:T79">(((J45+K45+L45))/I45)*100</f>
        <v>2.114874999626189</v>
      </c>
      <c r="U45" s="488">
        <f t="shared" si="8"/>
        <v>0.6349995171215671</v>
      </c>
      <c r="V45" s="537"/>
      <c r="W45" s="543">
        <f t="shared" si="22"/>
        <v>0</v>
      </c>
      <c r="X45" s="447">
        <f aca="true" t="shared" si="31" ref="X45:X79">+M45+N45+O45+P45+Q45+R45</f>
        <v>7273448</v>
      </c>
      <c r="Y45" s="544" t="str">
        <f aca="true" t="shared" si="32" ref="Y45:Y79">+IF(X45=S45,"Đ","S")</f>
        <v>Đ</v>
      </c>
      <c r="Z45" s="497">
        <f aca="true" t="shared" si="33" ref="Z45:Z79">+M45+N45+O45+P45+Q45</f>
        <v>4582498</v>
      </c>
      <c r="AA45" s="497">
        <v>2721620</v>
      </c>
      <c r="AB45" s="498">
        <f t="shared" si="9"/>
        <v>68.37390965674855</v>
      </c>
      <c r="AC45" s="497">
        <f t="shared" si="10"/>
        <v>1860878</v>
      </c>
    </row>
    <row r="46" spans="1:29" ht="19.5" customHeight="1">
      <c r="A46" s="486" t="s">
        <v>118</v>
      </c>
      <c r="B46" s="508" t="s">
        <v>486</v>
      </c>
      <c r="C46" s="481">
        <f t="shared" si="24"/>
        <v>10748139</v>
      </c>
      <c r="D46" s="567">
        <v>10082220</v>
      </c>
      <c r="E46" s="554">
        <v>665919</v>
      </c>
      <c r="F46" s="506"/>
      <c r="G46" s="506"/>
      <c r="H46" s="481">
        <f t="shared" si="26"/>
        <v>10748139</v>
      </c>
      <c r="I46" s="481">
        <f>+J46+K46+L46+M46+N46+O46+P46+Q46</f>
        <v>6006726</v>
      </c>
      <c r="J46" s="554">
        <v>117030</v>
      </c>
      <c r="K46" s="554">
        <v>8908</v>
      </c>
      <c r="L46" s="486"/>
      <c r="M46" s="554">
        <v>5880788</v>
      </c>
      <c r="N46" s="486"/>
      <c r="O46" s="486"/>
      <c r="P46" s="486"/>
      <c r="Q46" s="486"/>
      <c r="R46" s="555">
        <v>4741413</v>
      </c>
      <c r="S46" s="482">
        <f t="shared" si="29"/>
        <v>10622201</v>
      </c>
      <c r="T46" s="483">
        <f t="shared" si="30"/>
        <v>2.0966163597274123</v>
      </c>
      <c r="U46" s="488">
        <f t="shared" si="8"/>
        <v>0.5588619574049052</v>
      </c>
      <c r="V46" s="537"/>
      <c r="W46" s="543">
        <f t="shared" si="22"/>
        <v>0</v>
      </c>
      <c r="X46" s="447">
        <f t="shared" si="31"/>
        <v>10622201</v>
      </c>
      <c r="Y46" s="544" t="str">
        <f t="shared" si="32"/>
        <v>Đ</v>
      </c>
      <c r="Z46" s="497">
        <f t="shared" si="33"/>
        <v>5880788</v>
      </c>
      <c r="AA46" s="497"/>
      <c r="AB46" s="498" t="e">
        <f t="shared" si="9"/>
        <v>#DIV/0!</v>
      </c>
      <c r="AC46" s="497">
        <f t="shared" si="10"/>
        <v>5880788</v>
      </c>
    </row>
    <row r="47" spans="1:29" ht="19.5" customHeight="1">
      <c r="A47" s="486" t="s">
        <v>119</v>
      </c>
      <c r="B47" s="508" t="s">
        <v>547</v>
      </c>
      <c r="C47" s="481">
        <f aca="true" t="shared" si="34" ref="C47:C79">+D47+E47</f>
        <v>12007686</v>
      </c>
      <c r="D47" s="567">
        <v>11888906</v>
      </c>
      <c r="E47" s="554">
        <v>118780</v>
      </c>
      <c r="F47" s="506"/>
      <c r="G47" s="506"/>
      <c r="H47" s="481">
        <f t="shared" si="26"/>
        <v>12007686</v>
      </c>
      <c r="I47" s="481">
        <f>+J47+K47+L47+M47+N47+O47+P47+Q47</f>
        <v>6849916</v>
      </c>
      <c r="J47" s="554">
        <v>30700</v>
      </c>
      <c r="K47" s="554"/>
      <c r="L47" s="486"/>
      <c r="M47" s="554">
        <v>6819216</v>
      </c>
      <c r="N47" s="486"/>
      <c r="O47" s="486"/>
      <c r="P47" s="486"/>
      <c r="Q47" s="486"/>
      <c r="R47" s="555">
        <v>5157770</v>
      </c>
      <c r="S47" s="482">
        <f t="shared" si="29"/>
        <v>11976986</v>
      </c>
      <c r="T47" s="483">
        <f t="shared" si="30"/>
        <v>0.44818067841999815</v>
      </c>
      <c r="U47" s="488">
        <f t="shared" si="8"/>
        <v>0.5704609530928774</v>
      </c>
      <c r="V47" s="537"/>
      <c r="W47" s="543">
        <f t="shared" si="22"/>
        <v>0</v>
      </c>
      <c r="X47" s="447">
        <f t="shared" si="31"/>
        <v>11976986</v>
      </c>
      <c r="Y47" s="544" t="str">
        <f t="shared" si="32"/>
        <v>Đ</v>
      </c>
      <c r="Z47" s="497">
        <f t="shared" si="33"/>
        <v>6819216</v>
      </c>
      <c r="AA47" s="497">
        <v>1881773</v>
      </c>
      <c r="AB47" s="498">
        <f t="shared" si="9"/>
        <v>262.38249778267624</v>
      </c>
      <c r="AC47" s="497">
        <f t="shared" si="10"/>
        <v>4937443</v>
      </c>
    </row>
    <row r="48" spans="1:29" ht="19.5" customHeight="1">
      <c r="A48" s="562" t="s">
        <v>59</v>
      </c>
      <c r="B48" s="563" t="s">
        <v>485</v>
      </c>
      <c r="C48" s="564">
        <f>+C49+C50+C51+C53+C52</f>
        <v>35021126</v>
      </c>
      <c r="D48" s="564">
        <f aca="true" t="shared" si="35" ref="D48:P48">+D49+D50+D51+D53+D52</f>
        <v>31249002</v>
      </c>
      <c r="E48" s="564">
        <f t="shared" si="35"/>
        <v>3772124</v>
      </c>
      <c r="F48" s="564">
        <f t="shared" si="35"/>
        <v>0</v>
      </c>
      <c r="G48" s="564">
        <f t="shared" si="35"/>
        <v>0</v>
      </c>
      <c r="H48" s="564">
        <f t="shared" si="35"/>
        <v>35021126</v>
      </c>
      <c r="I48" s="564">
        <f t="shared" si="35"/>
        <v>19545088</v>
      </c>
      <c r="J48" s="564">
        <f t="shared" si="35"/>
        <v>142479</v>
      </c>
      <c r="K48" s="564">
        <f t="shared" si="35"/>
        <v>100763</v>
      </c>
      <c r="L48" s="564">
        <f t="shared" si="35"/>
        <v>0</v>
      </c>
      <c r="M48" s="564">
        <f t="shared" si="35"/>
        <v>18900855</v>
      </c>
      <c r="N48" s="564">
        <f t="shared" si="35"/>
        <v>400991</v>
      </c>
      <c r="O48" s="564">
        <f t="shared" si="35"/>
        <v>0</v>
      </c>
      <c r="P48" s="564">
        <f t="shared" si="35"/>
        <v>0</v>
      </c>
      <c r="Q48" s="564">
        <f>+Q49+Q50+Q51+Q53+Q52</f>
        <v>0</v>
      </c>
      <c r="R48" s="564">
        <f>+R49+R50+R51+R53+R52</f>
        <v>15476038</v>
      </c>
      <c r="S48" s="564">
        <f>+S49+S50+S51+S53+S52</f>
        <v>34777884</v>
      </c>
      <c r="T48" s="483">
        <f t="shared" si="30"/>
        <v>1.2445172925289465</v>
      </c>
      <c r="U48" s="488">
        <f t="shared" si="8"/>
        <v>0.5580942200430677</v>
      </c>
      <c r="V48" s="459">
        <f>+V49+V50+V51+V53+V52</f>
        <v>0</v>
      </c>
      <c r="W48" s="543">
        <f t="shared" si="22"/>
        <v>0</v>
      </c>
      <c r="X48" s="447">
        <f t="shared" si="31"/>
        <v>34777884</v>
      </c>
      <c r="Y48" s="544" t="str">
        <f t="shared" si="32"/>
        <v>Đ</v>
      </c>
      <c r="Z48" s="496">
        <f t="shared" si="33"/>
        <v>19301846</v>
      </c>
      <c r="AA48" s="496">
        <v>9872192</v>
      </c>
      <c r="AB48" s="498">
        <f t="shared" si="9"/>
        <v>95.51732786396376</v>
      </c>
      <c r="AC48" s="497">
        <f t="shared" si="10"/>
        <v>9429654</v>
      </c>
    </row>
    <row r="49" spans="1:29" ht="19.5" customHeight="1">
      <c r="A49" s="565" t="s">
        <v>120</v>
      </c>
      <c r="B49" s="1005" t="s">
        <v>578</v>
      </c>
      <c r="C49" s="481">
        <f t="shared" si="34"/>
        <v>8571603</v>
      </c>
      <c r="D49" s="1006">
        <v>7634987</v>
      </c>
      <c r="E49" s="1006">
        <v>936616</v>
      </c>
      <c r="F49" s="535"/>
      <c r="G49" s="506"/>
      <c r="H49" s="481">
        <f t="shared" si="26"/>
        <v>8571603</v>
      </c>
      <c r="I49" s="481">
        <f>+J49+K49+L49+M49+N49+O49+P49+Q49</f>
        <v>5288428</v>
      </c>
      <c r="J49" s="1006">
        <v>44713</v>
      </c>
      <c r="K49" s="1006">
        <v>100763</v>
      </c>
      <c r="L49" s="1006">
        <v>0</v>
      </c>
      <c r="M49" s="1006">
        <v>5142952</v>
      </c>
      <c r="N49" s="1006">
        <v>0</v>
      </c>
      <c r="O49" s="1006">
        <v>0</v>
      </c>
      <c r="P49" s="1006">
        <v>0</v>
      </c>
      <c r="Q49" s="1006">
        <v>0</v>
      </c>
      <c r="R49" s="1006">
        <v>3283175</v>
      </c>
      <c r="S49" s="482">
        <f t="shared" si="29"/>
        <v>8426127</v>
      </c>
      <c r="T49" s="483">
        <f t="shared" si="30"/>
        <v>2.7508363543949166</v>
      </c>
      <c r="U49" s="488">
        <f t="shared" si="8"/>
        <v>0.6169707113126914</v>
      </c>
      <c r="V49" s="540"/>
      <c r="W49" s="543">
        <f t="shared" si="22"/>
        <v>0</v>
      </c>
      <c r="X49" s="447">
        <f t="shared" si="31"/>
        <v>8426127</v>
      </c>
      <c r="Y49" s="544" t="str">
        <f t="shared" si="32"/>
        <v>Đ</v>
      </c>
      <c r="Z49" s="497">
        <f t="shared" si="33"/>
        <v>5142952</v>
      </c>
      <c r="AA49" s="497">
        <v>69046</v>
      </c>
      <c r="AB49" s="498">
        <f t="shared" si="9"/>
        <v>7348.587897923123</v>
      </c>
      <c r="AC49" s="497">
        <f t="shared" si="10"/>
        <v>5073906</v>
      </c>
    </row>
    <row r="50" spans="1:29" ht="19.5" customHeight="1">
      <c r="A50" s="565" t="s">
        <v>121</v>
      </c>
      <c r="B50" s="1005" t="s">
        <v>484</v>
      </c>
      <c r="C50" s="481">
        <f t="shared" si="34"/>
        <v>808803</v>
      </c>
      <c r="D50" s="1006">
        <v>666312</v>
      </c>
      <c r="E50" s="1006">
        <v>142491</v>
      </c>
      <c r="F50" s="535"/>
      <c r="G50" s="506"/>
      <c r="H50" s="481">
        <f t="shared" si="26"/>
        <v>808803</v>
      </c>
      <c r="I50" s="481">
        <f>+J50+K50+L50+M50+N50+O50+P50+Q50</f>
        <v>326767</v>
      </c>
      <c r="J50" s="1006">
        <v>53610</v>
      </c>
      <c r="K50" s="1006"/>
      <c r="L50" s="1006">
        <v>0</v>
      </c>
      <c r="M50" s="1006">
        <v>273157</v>
      </c>
      <c r="N50" s="1006">
        <v>0</v>
      </c>
      <c r="O50" s="1006">
        <v>0</v>
      </c>
      <c r="P50" s="1006">
        <v>0</v>
      </c>
      <c r="Q50" s="1006">
        <v>0</v>
      </c>
      <c r="R50" s="1006">
        <v>482036</v>
      </c>
      <c r="S50" s="482">
        <f t="shared" si="29"/>
        <v>755193</v>
      </c>
      <c r="T50" s="483">
        <f t="shared" si="30"/>
        <v>16.406185447122873</v>
      </c>
      <c r="U50" s="488">
        <f t="shared" si="8"/>
        <v>0.40401309095045396</v>
      </c>
      <c r="V50" s="522"/>
      <c r="W50" s="543">
        <f t="shared" si="22"/>
        <v>0</v>
      </c>
      <c r="X50" s="447">
        <f t="shared" si="31"/>
        <v>755193</v>
      </c>
      <c r="Y50" s="544" t="str">
        <f t="shared" si="32"/>
        <v>Đ</v>
      </c>
      <c r="Z50" s="497">
        <f t="shared" si="33"/>
        <v>273157</v>
      </c>
      <c r="AA50" s="497">
        <v>6139745</v>
      </c>
      <c r="AB50" s="498">
        <f t="shared" si="9"/>
        <v>-95.55100415408133</v>
      </c>
      <c r="AC50" s="497">
        <f t="shared" si="10"/>
        <v>-5866588</v>
      </c>
    </row>
    <row r="51" spans="1:29" ht="19.5" customHeight="1">
      <c r="A51" s="565" t="s">
        <v>122</v>
      </c>
      <c r="B51" s="1005" t="s">
        <v>494</v>
      </c>
      <c r="C51" s="481">
        <f t="shared" si="34"/>
        <v>11444361</v>
      </c>
      <c r="D51" s="1006">
        <v>9198934</v>
      </c>
      <c r="E51" s="1006">
        <v>2245427</v>
      </c>
      <c r="F51" s="535"/>
      <c r="G51" s="506"/>
      <c r="H51" s="481">
        <f t="shared" si="26"/>
        <v>11444361</v>
      </c>
      <c r="I51" s="481">
        <f>+J51+K51+L51+M51+N51+O51+P51+Q51</f>
        <v>6134507</v>
      </c>
      <c r="J51" s="1006">
        <v>11075</v>
      </c>
      <c r="K51" s="1006"/>
      <c r="L51" s="1006">
        <v>0</v>
      </c>
      <c r="M51" s="1006">
        <v>6123431</v>
      </c>
      <c r="N51" s="1006">
        <v>1</v>
      </c>
      <c r="O51" s="1006">
        <v>0</v>
      </c>
      <c r="P51" s="1006">
        <v>0</v>
      </c>
      <c r="Q51" s="1006">
        <v>0</v>
      </c>
      <c r="R51" s="1006">
        <v>5309854</v>
      </c>
      <c r="S51" s="482">
        <f t="shared" si="29"/>
        <v>11433286</v>
      </c>
      <c r="T51" s="483">
        <f t="shared" si="30"/>
        <v>0.18053610502033823</v>
      </c>
      <c r="U51" s="488">
        <f t="shared" si="8"/>
        <v>0.5360287918215793</v>
      </c>
      <c r="V51" s="522"/>
      <c r="W51" s="543">
        <f t="shared" si="22"/>
        <v>0</v>
      </c>
      <c r="X51" s="447">
        <f t="shared" si="31"/>
        <v>11433286</v>
      </c>
      <c r="Y51" s="544" t="str">
        <f t="shared" si="32"/>
        <v>Đ</v>
      </c>
      <c r="Z51" s="497">
        <f t="shared" si="33"/>
        <v>6123432</v>
      </c>
      <c r="AA51" s="497">
        <v>1746920</v>
      </c>
      <c r="AB51" s="498">
        <f t="shared" si="9"/>
        <v>250.52732809745152</v>
      </c>
      <c r="AC51" s="497">
        <f t="shared" si="10"/>
        <v>4376512</v>
      </c>
    </row>
    <row r="52" spans="1:29" ht="19.5" customHeight="1">
      <c r="A52" s="565" t="s">
        <v>483</v>
      </c>
      <c r="B52" s="1005" t="s">
        <v>579</v>
      </c>
      <c r="C52" s="481">
        <f t="shared" si="34"/>
        <v>8083468</v>
      </c>
      <c r="D52" s="1006">
        <v>7803672</v>
      </c>
      <c r="E52" s="1006">
        <v>279796</v>
      </c>
      <c r="F52" s="535"/>
      <c r="G52" s="506"/>
      <c r="H52" s="481">
        <f t="shared" si="26"/>
        <v>8083468</v>
      </c>
      <c r="I52" s="481">
        <f>+J52+K52+L52+M52+N52+O52+P52+Q52</f>
        <v>4282728</v>
      </c>
      <c r="J52" s="1006">
        <v>7483</v>
      </c>
      <c r="K52" s="1006"/>
      <c r="L52" s="1006">
        <v>0</v>
      </c>
      <c r="M52" s="1006">
        <v>4122198</v>
      </c>
      <c r="N52" s="1006">
        <v>153047</v>
      </c>
      <c r="O52" s="1006">
        <v>0</v>
      </c>
      <c r="P52" s="1006">
        <v>0</v>
      </c>
      <c r="Q52" s="1006">
        <v>0</v>
      </c>
      <c r="R52" s="1006">
        <v>3800740</v>
      </c>
      <c r="S52" s="482">
        <f t="shared" si="29"/>
        <v>8075985</v>
      </c>
      <c r="T52" s="483">
        <f t="shared" si="30"/>
        <v>0.17472508177031087</v>
      </c>
      <c r="U52" s="488">
        <f t="shared" si="8"/>
        <v>0.5298131940399838</v>
      </c>
      <c r="V52" s="522"/>
      <c r="W52" s="543">
        <f t="shared" si="22"/>
        <v>0</v>
      </c>
      <c r="X52" s="447">
        <f t="shared" si="31"/>
        <v>8075985</v>
      </c>
      <c r="Y52" s="544" t="str">
        <f t="shared" si="32"/>
        <v>Đ</v>
      </c>
      <c r="Z52" s="497">
        <f t="shared" si="33"/>
        <v>4275245</v>
      </c>
      <c r="AA52" s="497"/>
      <c r="AB52" s="498" t="e">
        <f t="shared" si="9"/>
        <v>#DIV/0!</v>
      </c>
      <c r="AC52" s="497">
        <f t="shared" si="10"/>
        <v>4275245</v>
      </c>
    </row>
    <row r="53" spans="1:29" ht="19.5" customHeight="1">
      <c r="A53" s="565" t="s">
        <v>539</v>
      </c>
      <c r="B53" s="1005" t="s">
        <v>482</v>
      </c>
      <c r="C53" s="481">
        <f t="shared" si="34"/>
        <v>6112891</v>
      </c>
      <c r="D53" s="1006">
        <v>5945097</v>
      </c>
      <c r="E53" s="1006">
        <v>167794</v>
      </c>
      <c r="F53" s="535"/>
      <c r="G53" s="506"/>
      <c r="H53" s="481">
        <f t="shared" si="26"/>
        <v>6112891</v>
      </c>
      <c r="I53" s="481">
        <f>+J53+K53+L53+M53+N53+O53+P53+Q53</f>
        <v>3512658</v>
      </c>
      <c r="J53" s="1006">
        <v>25598</v>
      </c>
      <c r="K53" s="1006"/>
      <c r="L53" s="1006">
        <v>0</v>
      </c>
      <c r="M53" s="1006">
        <v>3239117</v>
      </c>
      <c r="N53" s="1006">
        <v>247943</v>
      </c>
      <c r="O53" s="1006">
        <v>0</v>
      </c>
      <c r="P53" s="1006">
        <v>0</v>
      </c>
      <c r="Q53" s="1006">
        <v>0</v>
      </c>
      <c r="R53" s="1006">
        <v>2600233</v>
      </c>
      <c r="S53" s="482">
        <f t="shared" si="29"/>
        <v>6087293</v>
      </c>
      <c r="T53" s="483">
        <f t="shared" si="30"/>
        <v>0.7287359031252117</v>
      </c>
      <c r="U53" s="488">
        <f t="shared" si="8"/>
        <v>0.5746312178640188</v>
      </c>
      <c r="V53" s="522"/>
      <c r="W53" s="543">
        <f t="shared" si="22"/>
        <v>0</v>
      </c>
      <c r="X53" s="447">
        <f t="shared" si="31"/>
        <v>6087293</v>
      </c>
      <c r="Y53" s="544" t="str">
        <f t="shared" si="32"/>
        <v>Đ</v>
      </c>
      <c r="Z53" s="497">
        <f t="shared" si="33"/>
        <v>3487060</v>
      </c>
      <c r="AA53" s="497">
        <v>972459</v>
      </c>
      <c r="AB53" s="498">
        <f t="shared" si="9"/>
        <v>258.5816985600421</v>
      </c>
      <c r="AC53" s="497">
        <f t="shared" si="10"/>
        <v>2514601</v>
      </c>
    </row>
    <row r="54" spans="1:29" ht="19.5" customHeight="1">
      <c r="A54" s="562" t="s">
        <v>60</v>
      </c>
      <c r="B54" s="563" t="s">
        <v>481</v>
      </c>
      <c r="C54" s="481">
        <f>+C55+C56+C57+C58+C59+C60</f>
        <v>74416493</v>
      </c>
      <c r="D54" s="481">
        <f aca="true" t="shared" si="36" ref="D54:S54">+D55+D56+D57+D58+D59+D60</f>
        <v>68156095</v>
      </c>
      <c r="E54" s="481">
        <f t="shared" si="36"/>
        <v>6260398</v>
      </c>
      <c r="F54" s="481">
        <f t="shared" si="36"/>
        <v>0</v>
      </c>
      <c r="G54" s="481">
        <f t="shared" si="36"/>
        <v>0</v>
      </c>
      <c r="H54" s="481">
        <f t="shared" si="36"/>
        <v>74416493</v>
      </c>
      <c r="I54" s="481">
        <f t="shared" si="36"/>
        <v>43727310</v>
      </c>
      <c r="J54" s="481">
        <f t="shared" si="36"/>
        <v>676432</v>
      </c>
      <c r="K54" s="481">
        <f t="shared" si="36"/>
        <v>825000</v>
      </c>
      <c r="L54" s="481">
        <f t="shared" si="36"/>
        <v>0</v>
      </c>
      <c r="M54" s="481">
        <f t="shared" si="36"/>
        <v>42225878</v>
      </c>
      <c r="N54" s="481">
        <f t="shared" si="36"/>
        <v>0</v>
      </c>
      <c r="O54" s="481">
        <f t="shared" si="36"/>
        <v>0</v>
      </c>
      <c r="P54" s="481">
        <f t="shared" si="36"/>
        <v>0</v>
      </c>
      <c r="Q54" s="481">
        <f t="shared" si="36"/>
        <v>0</v>
      </c>
      <c r="R54" s="481">
        <f t="shared" si="36"/>
        <v>30689183</v>
      </c>
      <c r="S54" s="481">
        <f t="shared" si="36"/>
        <v>72915061</v>
      </c>
      <c r="T54" s="561">
        <f t="shared" si="30"/>
        <v>3.4336253476374377</v>
      </c>
      <c r="U54" s="488">
        <f t="shared" si="8"/>
        <v>0.5876024015267691</v>
      </c>
      <c r="V54" s="505">
        <f>+V55+V56+V57+V58+V59+V60</f>
        <v>0</v>
      </c>
      <c r="W54" s="543">
        <f t="shared" si="22"/>
        <v>0</v>
      </c>
      <c r="X54" s="447">
        <f t="shared" si="31"/>
        <v>72915061</v>
      </c>
      <c r="Y54" s="447" t="str">
        <f t="shared" si="32"/>
        <v>Đ</v>
      </c>
      <c r="Z54" s="496">
        <f t="shared" si="33"/>
        <v>42225878</v>
      </c>
      <c r="AA54" s="496">
        <v>19202799</v>
      </c>
      <c r="AB54" s="498">
        <f t="shared" si="9"/>
        <v>119.89439143741494</v>
      </c>
      <c r="AC54" s="497">
        <f t="shared" si="10"/>
        <v>23023079</v>
      </c>
    </row>
    <row r="55" spans="1:29" ht="19.5" customHeight="1">
      <c r="A55" s="486" t="s">
        <v>480</v>
      </c>
      <c r="B55" s="508" t="s">
        <v>503</v>
      </c>
      <c r="C55" s="481">
        <f t="shared" si="34"/>
        <v>10206255</v>
      </c>
      <c r="D55" s="525">
        <v>8086576</v>
      </c>
      <c r="E55" s="525">
        <v>2119679</v>
      </c>
      <c r="F55" s="525"/>
      <c r="G55" s="506"/>
      <c r="H55" s="481">
        <f t="shared" si="26"/>
        <v>10206255</v>
      </c>
      <c r="I55" s="481">
        <f aca="true" t="shared" si="37" ref="I55:I79">SUM(J55:Q55)</f>
        <v>6196786</v>
      </c>
      <c r="J55" s="525">
        <v>290271</v>
      </c>
      <c r="K55" s="525">
        <v>825000</v>
      </c>
      <c r="L55" s="525">
        <v>0</v>
      </c>
      <c r="M55" s="525">
        <v>5081515</v>
      </c>
      <c r="N55" s="525"/>
      <c r="O55" s="525"/>
      <c r="P55" s="525"/>
      <c r="Q55" s="525"/>
      <c r="R55" s="525">
        <v>4009469</v>
      </c>
      <c r="S55" s="564">
        <f aca="true" t="shared" si="38" ref="S55:S79">SUM(M55:R55)</f>
        <v>9090984</v>
      </c>
      <c r="T55" s="483">
        <f t="shared" si="30"/>
        <v>17.997571644397595</v>
      </c>
      <c r="U55" s="488">
        <f t="shared" si="8"/>
        <v>0.6071557099053473</v>
      </c>
      <c r="V55" s="528"/>
      <c r="W55" s="543">
        <f t="shared" si="22"/>
        <v>0</v>
      </c>
      <c r="X55" s="447">
        <f t="shared" si="31"/>
        <v>9090984</v>
      </c>
      <c r="Y55" s="447" t="str">
        <f t="shared" si="32"/>
        <v>Đ</v>
      </c>
      <c r="Z55" s="497">
        <f t="shared" si="33"/>
        <v>5081515</v>
      </c>
      <c r="AA55" s="497">
        <v>1494335</v>
      </c>
      <c r="AB55" s="498">
        <f t="shared" si="9"/>
        <v>240.05192945356964</v>
      </c>
      <c r="AC55" s="497">
        <f t="shared" si="10"/>
        <v>3587180</v>
      </c>
    </row>
    <row r="56" spans="1:29" ht="19.5" customHeight="1">
      <c r="A56" s="486" t="s">
        <v>479</v>
      </c>
      <c r="B56" s="508" t="s">
        <v>478</v>
      </c>
      <c r="C56" s="481">
        <f t="shared" si="34"/>
        <v>15584161</v>
      </c>
      <c r="D56" s="525">
        <v>15322872</v>
      </c>
      <c r="E56" s="525">
        <v>261289</v>
      </c>
      <c r="F56" s="525"/>
      <c r="G56" s="506"/>
      <c r="H56" s="481">
        <f t="shared" si="26"/>
        <v>15584161</v>
      </c>
      <c r="I56" s="481">
        <f t="shared" si="37"/>
        <v>8575798</v>
      </c>
      <c r="J56" s="525">
        <v>17064</v>
      </c>
      <c r="K56" s="525"/>
      <c r="L56" s="525">
        <v>0</v>
      </c>
      <c r="M56" s="525">
        <v>8558734</v>
      </c>
      <c r="N56" s="525"/>
      <c r="O56" s="525"/>
      <c r="P56" s="525"/>
      <c r="Q56" s="525"/>
      <c r="R56" s="525">
        <v>7008363</v>
      </c>
      <c r="S56" s="564">
        <f t="shared" si="38"/>
        <v>15567097</v>
      </c>
      <c r="T56" s="483">
        <f t="shared" si="30"/>
        <v>0.19897856735897929</v>
      </c>
      <c r="U56" s="488">
        <f t="shared" si="8"/>
        <v>0.5502893611019547</v>
      </c>
      <c r="V56" s="528"/>
      <c r="W56" s="543">
        <f t="shared" si="22"/>
        <v>0</v>
      </c>
      <c r="X56" s="447">
        <f t="shared" si="31"/>
        <v>15567097</v>
      </c>
      <c r="Y56" s="447" t="str">
        <f t="shared" si="32"/>
        <v>Đ</v>
      </c>
      <c r="Z56" s="497">
        <f t="shared" si="33"/>
        <v>8558734</v>
      </c>
      <c r="AA56" s="497">
        <v>6585209</v>
      </c>
      <c r="AB56" s="498">
        <f t="shared" si="9"/>
        <v>29.969056411117705</v>
      </c>
      <c r="AC56" s="497">
        <f t="shared" si="10"/>
        <v>1973525</v>
      </c>
    </row>
    <row r="57" spans="1:29" ht="19.5" customHeight="1">
      <c r="A57" s="486" t="s">
        <v>477</v>
      </c>
      <c r="B57" s="508" t="s">
        <v>476</v>
      </c>
      <c r="C57" s="481">
        <f t="shared" si="34"/>
        <v>20532795</v>
      </c>
      <c r="D57" s="525">
        <v>19220562</v>
      </c>
      <c r="E57" s="525">
        <v>1312233</v>
      </c>
      <c r="F57" s="525"/>
      <c r="G57" s="506"/>
      <c r="H57" s="481">
        <f t="shared" si="26"/>
        <v>20532795</v>
      </c>
      <c r="I57" s="481">
        <f t="shared" si="37"/>
        <v>13027984</v>
      </c>
      <c r="J57" s="525">
        <v>203574</v>
      </c>
      <c r="K57" s="525"/>
      <c r="L57" s="525"/>
      <c r="M57" s="525">
        <v>12824410</v>
      </c>
      <c r="N57" s="525"/>
      <c r="O57" s="525"/>
      <c r="P57" s="525"/>
      <c r="Q57" s="525"/>
      <c r="R57" s="525">
        <v>7504811</v>
      </c>
      <c r="S57" s="564">
        <f t="shared" si="38"/>
        <v>20329221</v>
      </c>
      <c r="T57" s="483">
        <f t="shared" si="30"/>
        <v>1.5625901904699913</v>
      </c>
      <c r="U57" s="488">
        <f t="shared" si="8"/>
        <v>0.6344963751890573</v>
      </c>
      <c r="V57" s="528"/>
      <c r="W57" s="543">
        <f t="shared" si="22"/>
        <v>0</v>
      </c>
      <c r="X57" s="447">
        <f t="shared" si="31"/>
        <v>20329221</v>
      </c>
      <c r="Y57" s="447" t="str">
        <f t="shared" si="32"/>
        <v>Đ</v>
      </c>
      <c r="Z57" s="497">
        <f t="shared" si="33"/>
        <v>12824410</v>
      </c>
      <c r="AA57" s="497">
        <v>5314571</v>
      </c>
      <c r="AB57" s="498">
        <f t="shared" si="9"/>
        <v>141.30658899843468</v>
      </c>
      <c r="AC57" s="497">
        <f t="shared" si="10"/>
        <v>7509839</v>
      </c>
    </row>
    <row r="58" spans="1:29" ht="19.5" customHeight="1">
      <c r="A58" s="486" t="s">
        <v>475</v>
      </c>
      <c r="B58" s="508" t="s">
        <v>566</v>
      </c>
      <c r="C58" s="481">
        <f t="shared" si="34"/>
        <v>10878559</v>
      </c>
      <c r="D58" s="525">
        <v>9672401</v>
      </c>
      <c r="E58" s="525">
        <v>1206158</v>
      </c>
      <c r="F58" s="525"/>
      <c r="G58" s="506"/>
      <c r="H58" s="481">
        <f t="shared" si="26"/>
        <v>10878559</v>
      </c>
      <c r="I58" s="481">
        <f t="shared" si="37"/>
        <v>8362155</v>
      </c>
      <c r="J58" s="525">
        <v>82039</v>
      </c>
      <c r="K58" s="525"/>
      <c r="L58" s="525">
        <v>0</v>
      </c>
      <c r="M58" s="525">
        <v>8280116</v>
      </c>
      <c r="N58" s="525"/>
      <c r="O58" s="525"/>
      <c r="P58" s="525"/>
      <c r="Q58" s="525"/>
      <c r="R58" s="525">
        <v>2516404</v>
      </c>
      <c r="S58" s="564">
        <f t="shared" si="38"/>
        <v>10796520</v>
      </c>
      <c r="T58" s="483">
        <f t="shared" si="30"/>
        <v>0.9810748545081979</v>
      </c>
      <c r="U58" s="488">
        <f t="shared" si="8"/>
        <v>0.7686822307991343</v>
      </c>
      <c r="V58" s="528"/>
      <c r="W58" s="543">
        <f t="shared" si="22"/>
        <v>0</v>
      </c>
      <c r="X58" s="447">
        <f t="shared" si="31"/>
        <v>10796520</v>
      </c>
      <c r="Y58" s="447" t="str">
        <f t="shared" si="32"/>
        <v>Đ</v>
      </c>
      <c r="Z58" s="497">
        <f t="shared" si="33"/>
        <v>8280116</v>
      </c>
      <c r="AA58" s="497">
        <v>2349707</v>
      </c>
      <c r="AB58" s="498">
        <f t="shared" si="9"/>
        <v>252.3892978996956</v>
      </c>
      <c r="AC58" s="497">
        <f t="shared" si="10"/>
        <v>5930409</v>
      </c>
    </row>
    <row r="59" spans="1:29" ht="19.5" customHeight="1">
      <c r="A59" s="486" t="s">
        <v>473</v>
      </c>
      <c r="B59" s="508" t="s">
        <v>534</v>
      </c>
      <c r="C59" s="481">
        <f t="shared" si="34"/>
        <v>8588654</v>
      </c>
      <c r="D59" s="525">
        <v>8347389</v>
      </c>
      <c r="E59" s="525">
        <v>241265</v>
      </c>
      <c r="F59" s="525"/>
      <c r="G59" s="506"/>
      <c r="H59" s="481">
        <f t="shared" si="26"/>
        <v>8588654</v>
      </c>
      <c r="I59" s="481">
        <f t="shared" si="37"/>
        <v>5116058</v>
      </c>
      <c r="J59" s="525">
        <v>6173</v>
      </c>
      <c r="K59" s="525"/>
      <c r="L59" s="525">
        <v>0</v>
      </c>
      <c r="M59" s="525">
        <v>5109885</v>
      </c>
      <c r="N59" s="525"/>
      <c r="O59" s="525"/>
      <c r="P59" s="525"/>
      <c r="Q59" s="525"/>
      <c r="R59" s="525">
        <v>3472596</v>
      </c>
      <c r="S59" s="564">
        <f t="shared" si="38"/>
        <v>8582481</v>
      </c>
      <c r="T59" s="483">
        <f t="shared" si="30"/>
        <v>0.12065930448794755</v>
      </c>
      <c r="U59" s="488">
        <f t="shared" si="8"/>
        <v>0.5956763422999692</v>
      </c>
      <c r="V59" s="528"/>
      <c r="W59" s="543">
        <f t="shared" si="22"/>
        <v>0</v>
      </c>
      <c r="X59" s="447">
        <f t="shared" si="31"/>
        <v>8582481</v>
      </c>
      <c r="Y59" s="447" t="str">
        <f t="shared" si="32"/>
        <v>Đ</v>
      </c>
      <c r="Z59" s="497"/>
      <c r="AA59" s="497"/>
      <c r="AB59" s="498"/>
      <c r="AC59" s="497"/>
    </row>
    <row r="60" spans="1:29" ht="19.5" customHeight="1">
      <c r="A60" s="486" t="s">
        <v>537</v>
      </c>
      <c r="B60" s="508" t="s">
        <v>551</v>
      </c>
      <c r="C60" s="481">
        <f t="shared" si="34"/>
        <v>8626069</v>
      </c>
      <c r="D60" s="506">
        <v>7506295</v>
      </c>
      <c r="E60" s="506">
        <v>1119774</v>
      </c>
      <c r="F60" s="506"/>
      <c r="G60" s="575"/>
      <c r="H60" s="481">
        <f t="shared" si="26"/>
        <v>8626069</v>
      </c>
      <c r="I60" s="481">
        <f t="shared" si="37"/>
        <v>2448529</v>
      </c>
      <c r="J60" s="506">
        <v>77311</v>
      </c>
      <c r="K60" s="506"/>
      <c r="L60" s="525"/>
      <c r="M60" s="506">
        <v>2371218</v>
      </c>
      <c r="N60" s="525"/>
      <c r="O60" s="525"/>
      <c r="P60" s="525"/>
      <c r="Q60" s="525"/>
      <c r="R60" s="506">
        <v>6177540</v>
      </c>
      <c r="S60" s="564">
        <f t="shared" si="38"/>
        <v>8548758</v>
      </c>
      <c r="T60" s="483">
        <f t="shared" si="30"/>
        <v>3.1574467772282873</v>
      </c>
      <c r="U60" s="488">
        <f t="shared" si="8"/>
        <v>0.28385223906741297</v>
      </c>
      <c r="V60" s="528">
        <v>0</v>
      </c>
      <c r="W60" s="543">
        <f t="shared" si="22"/>
        <v>0</v>
      </c>
      <c r="X60" s="447">
        <f t="shared" si="31"/>
        <v>8548758</v>
      </c>
      <c r="Y60" s="447" t="str">
        <f t="shared" si="32"/>
        <v>Đ</v>
      </c>
      <c r="Z60" s="497">
        <f t="shared" si="33"/>
        <v>2371218</v>
      </c>
      <c r="AA60" s="497">
        <v>4444304</v>
      </c>
      <c r="AB60" s="498">
        <f t="shared" si="9"/>
        <v>-46.645909010724736</v>
      </c>
      <c r="AC60" s="497">
        <f t="shared" si="10"/>
        <v>-2073086</v>
      </c>
    </row>
    <row r="61" spans="1:29" ht="19.5" customHeight="1">
      <c r="A61" s="562" t="s">
        <v>61</v>
      </c>
      <c r="B61" s="563" t="s">
        <v>472</v>
      </c>
      <c r="C61" s="481">
        <f t="shared" si="34"/>
        <v>52428353</v>
      </c>
      <c r="D61" s="481">
        <f>SUM(D62:D67)</f>
        <v>46497444</v>
      </c>
      <c r="E61" s="481">
        <f aca="true" t="shared" si="39" ref="E61:S61">SUM(E62:E67)</f>
        <v>5930909</v>
      </c>
      <c r="F61" s="481">
        <f t="shared" si="39"/>
        <v>2652</v>
      </c>
      <c r="G61" s="481">
        <f t="shared" si="39"/>
        <v>0</v>
      </c>
      <c r="H61" s="481">
        <f t="shared" si="39"/>
        <v>52425701</v>
      </c>
      <c r="I61" s="481">
        <f t="shared" si="39"/>
        <v>32290412</v>
      </c>
      <c r="J61" s="481">
        <f t="shared" si="39"/>
        <v>274048</v>
      </c>
      <c r="K61" s="481">
        <f t="shared" si="39"/>
        <v>15683</v>
      </c>
      <c r="L61" s="481">
        <f t="shared" si="39"/>
        <v>0</v>
      </c>
      <c r="M61" s="481">
        <f t="shared" si="39"/>
        <v>31024108</v>
      </c>
      <c r="N61" s="481">
        <f t="shared" si="39"/>
        <v>2862</v>
      </c>
      <c r="O61" s="481">
        <f t="shared" si="39"/>
        <v>0</v>
      </c>
      <c r="P61" s="481">
        <f t="shared" si="39"/>
        <v>0</v>
      </c>
      <c r="Q61" s="481">
        <f t="shared" si="39"/>
        <v>973711</v>
      </c>
      <c r="R61" s="481">
        <f t="shared" si="39"/>
        <v>20135289</v>
      </c>
      <c r="S61" s="481">
        <f t="shared" si="39"/>
        <v>52135970</v>
      </c>
      <c r="T61" s="561">
        <f t="shared" si="30"/>
        <v>0.8972663464312565</v>
      </c>
      <c r="U61" s="488">
        <f t="shared" si="8"/>
        <v>0.6159271384849961</v>
      </c>
      <c r="V61" s="505">
        <f>SUM(V62:V67)</f>
        <v>0</v>
      </c>
      <c r="W61" s="543">
        <f t="shared" si="22"/>
        <v>0</v>
      </c>
      <c r="X61" s="447">
        <f t="shared" si="31"/>
        <v>52135970</v>
      </c>
      <c r="Y61" s="447" t="str">
        <f t="shared" si="32"/>
        <v>Đ</v>
      </c>
      <c r="Z61" s="496">
        <f t="shared" si="33"/>
        <v>32000681</v>
      </c>
      <c r="AA61" s="496">
        <f>+AA62+AA63+AA64+AA65+AA67+AA66</f>
        <v>11079640</v>
      </c>
      <c r="AB61" s="498">
        <f t="shared" si="9"/>
        <v>188.82419464892362</v>
      </c>
      <c r="AC61" s="497">
        <f t="shared" si="10"/>
        <v>20921041</v>
      </c>
    </row>
    <row r="62" spans="1:29" ht="19.5" customHeight="1">
      <c r="A62" s="486" t="s">
        <v>471</v>
      </c>
      <c r="B62" s="508" t="s">
        <v>470</v>
      </c>
      <c r="C62" s="481">
        <f t="shared" si="34"/>
        <v>11528298</v>
      </c>
      <c r="D62" s="506">
        <v>11077793</v>
      </c>
      <c r="E62" s="506">
        <v>450505</v>
      </c>
      <c r="F62" s="506">
        <v>0</v>
      </c>
      <c r="G62" s="506"/>
      <c r="H62" s="481">
        <f t="shared" si="26"/>
        <v>11528298</v>
      </c>
      <c r="I62" s="481">
        <f t="shared" si="37"/>
        <v>5233447</v>
      </c>
      <c r="J62" s="506">
        <v>10841</v>
      </c>
      <c r="K62" s="506"/>
      <c r="L62" s="506">
        <v>0</v>
      </c>
      <c r="M62" s="506">
        <v>5222606</v>
      </c>
      <c r="N62" s="506">
        <v>0</v>
      </c>
      <c r="O62" s="506">
        <v>0</v>
      </c>
      <c r="P62" s="506">
        <v>0</v>
      </c>
      <c r="Q62" s="506">
        <v>0</v>
      </c>
      <c r="R62" s="506">
        <v>6294851</v>
      </c>
      <c r="S62" s="564">
        <f t="shared" si="38"/>
        <v>11517457</v>
      </c>
      <c r="T62" s="483">
        <f t="shared" si="30"/>
        <v>0.20714836703228293</v>
      </c>
      <c r="U62" s="488">
        <f t="shared" si="8"/>
        <v>0.4539652774416484</v>
      </c>
      <c r="V62" s="529"/>
      <c r="W62" s="543">
        <f t="shared" si="22"/>
        <v>0</v>
      </c>
      <c r="X62" s="447">
        <f t="shared" si="31"/>
        <v>11517457</v>
      </c>
      <c r="Y62" s="447" t="str">
        <f t="shared" si="32"/>
        <v>Đ</v>
      </c>
      <c r="Z62" s="497">
        <f t="shared" si="33"/>
        <v>5222606</v>
      </c>
      <c r="AA62" s="497">
        <v>2355474</v>
      </c>
      <c r="AB62" s="498">
        <f t="shared" si="9"/>
        <v>121.72208226454633</v>
      </c>
      <c r="AC62" s="497">
        <f t="shared" si="10"/>
        <v>2867132</v>
      </c>
    </row>
    <row r="63" spans="1:29" ht="19.5" customHeight="1">
      <c r="A63" s="486" t="s">
        <v>469</v>
      </c>
      <c r="B63" s="508" t="s">
        <v>468</v>
      </c>
      <c r="C63" s="481">
        <f t="shared" si="34"/>
        <v>5351215</v>
      </c>
      <c r="D63" s="506">
        <v>4097767</v>
      </c>
      <c r="E63" s="506">
        <v>1253448</v>
      </c>
      <c r="F63" s="506">
        <v>2652</v>
      </c>
      <c r="G63" s="506"/>
      <c r="H63" s="481">
        <f t="shared" si="26"/>
        <v>5348563</v>
      </c>
      <c r="I63" s="481">
        <f t="shared" si="37"/>
        <v>3957062</v>
      </c>
      <c r="J63" s="506">
        <v>9575</v>
      </c>
      <c r="K63" s="506"/>
      <c r="L63" s="506">
        <v>0</v>
      </c>
      <c r="M63" s="506">
        <v>3947487</v>
      </c>
      <c r="N63" s="506">
        <v>0</v>
      </c>
      <c r="O63" s="506">
        <v>0</v>
      </c>
      <c r="P63" s="506">
        <v>0</v>
      </c>
      <c r="Q63" s="506">
        <v>0</v>
      </c>
      <c r="R63" s="506">
        <v>1391501</v>
      </c>
      <c r="S63" s="564">
        <f t="shared" si="38"/>
        <v>5338988</v>
      </c>
      <c r="T63" s="483">
        <f t="shared" si="30"/>
        <v>0.2419724532999483</v>
      </c>
      <c r="U63" s="488">
        <f t="shared" si="8"/>
        <v>0.7398364757038479</v>
      </c>
      <c r="V63" s="529"/>
      <c r="W63" s="543">
        <f t="shared" si="22"/>
        <v>0</v>
      </c>
      <c r="X63" s="447">
        <f t="shared" si="31"/>
        <v>5338988</v>
      </c>
      <c r="Y63" s="447" t="str">
        <f t="shared" si="32"/>
        <v>Đ</v>
      </c>
      <c r="Z63" s="497">
        <f t="shared" si="33"/>
        <v>3947487</v>
      </c>
      <c r="AA63" s="497">
        <v>1621692</v>
      </c>
      <c r="AB63" s="498">
        <f t="shared" si="9"/>
        <v>143.41780066745102</v>
      </c>
      <c r="AC63" s="497">
        <f t="shared" si="10"/>
        <v>2325795</v>
      </c>
    </row>
    <row r="64" spans="1:29" ht="19.5" customHeight="1">
      <c r="A64" s="486" t="s">
        <v>467</v>
      </c>
      <c r="B64" s="508" t="s">
        <v>466</v>
      </c>
      <c r="C64" s="481">
        <f t="shared" si="34"/>
        <v>6594403</v>
      </c>
      <c r="D64" s="506">
        <v>4973554</v>
      </c>
      <c r="E64" s="506">
        <v>1620849</v>
      </c>
      <c r="F64" s="506">
        <v>0</v>
      </c>
      <c r="G64" s="506"/>
      <c r="H64" s="481">
        <f t="shared" si="26"/>
        <v>6594403</v>
      </c>
      <c r="I64" s="481">
        <f t="shared" si="37"/>
        <v>3702842</v>
      </c>
      <c r="J64" s="506">
        <v>33452</v>
      </c>
      <c r="K64" s="506"/>
      <c r="L64" s="506">
        <v>0</v>
      </c>
      <c r="M64" s="1007">
        <v>3666528</v>
      </c>
      <c r="N64" s="506">
        <v>2862</v>
      </c>
      <c r="O64" s="506">
        <v>0</v>
      </c>
      <c r="P64" s="506">
        <v>0</v>
      </c>
      <c r="Q64" s="506">
        <v>0</v>
      </c>
      <c r="R64" s="506">
        <v>2891561</v>
      </c>
      <c r="S64" s="564">
        <f t="shared" si="38"/>
        <v>6560951</v>
      </c>
      <c r="T64" s="483">
        <f t="shared" si="30"/>
        <v>0.9034141883450604</v>
      </c>
      <c r="U64" s="488">
        <f t="shared" si="8"/>
        <v>0.561512846576104</v>
      </c>
      <c r="V64" s="529"/>
      <c r="W64" s="543">
        <f t="shared" si="22"/>
        <v>0</v>
      </c>
      <c r="X64" s="447">
        <f t="shared" si="31"/>
        <v>6560951</v>
      </c>
      <c r="Y64" s="447" t="str">
        <f t="shared" si="32"/>
        <v>Đ</v>
      </c>
      <c r="Z64" s="497">
        <f t="shared" si="33"/>
        <v>3669390</v>
      </c>
      <c r="AA64" s="497">
        <v>384325</v>
      </c>
      <c r="AB64" s="498">
        <f t="shared" si="9"/>
        <v>854.762245495349</v>
      </c>
      <c r="AC64" s="497">
        <f t="shared" si="10"/>
        <v>3285065</v>
      </c>
    </row>
    <row r="65" spans="1:29" ht="19.5" customHeight="1">
      <c r="A65" s="486" t="s">
        <v>465</v>
      </c>
      <c r="B65" s="508" t="s">
        <v>564</v>
      </c>
      <c r="C65" s="481">
        <f t="shared" si="34"/>
        <v>14064359</v>
      </c>
      <c r="D65" s="506">
        <v>13048166</v>
      </c>
      <c r="E65" s="506">
        <v>1016193</v>
      </c>
      <c r="F65" s="506">
        <v>0</v>
      </c>
      <c r="G65" s="506"/>
      <c r="H65" s="481">
        <f t="shared" si="26"/>
        <v>14064359</v>
      </c>
      <c r="I65" s="481">
        <f t="shared" si="37"/>
        <v>6067246</v>
      </c>
      <c r="J65" s="506">
        <v>143381</v>
      </c>
      <c r="K65" s="506"/>
      <c r="L65" s="506">
        <v>0</v>
      </c>
      <c r="M65" s="1007">
        <v>5923865</v>
      </c>
      <c r="N65" s="506">
        <v>0</v>
      </c>
      <c r="O65" s="506">
        <v>0</v>
      </c>
      <c r="P65" s="506">
        <v>0</v>
      </c>
      <c r="Q65" s="506">
        <v>0</v>
      </c>
      <c r="R65" s="506">
        <v>7997113</v>
      </c>
      <c r="S65" s="564">
        <f t="shared" si="38"/>
        <v>13920978</v>
      </c>
      <c r="T65" s="483">
        <f t="shared" si="30"/>
        <v>2.3631974045555433</v>
      </c>
      <c r="U65" s="488">
        <f t="shared" si="8"/>
        <v>0.43139157639534087</v>
      </c>
      <c r="V65" s="529"/>
      <c r="W65" s="543">
        <f t="shared" si="22"/>
        <v>0</v>
      </c>
      <c r="X65" s="447">
        <f t="shared" si="31"/>
        <v>13920978</v>
      </c>
      <c r="Y65" s="447" t="str">
        <f t="shared" si="32"/>
        <v>Đ</v>
      </c>
      <c r="Z65" s="547">
        <f t="shared" si="33"/>
        <v>5923865</v>
      </c>
      <c r="AA65" s="547"/>
      <c r="AB65" s="498" t="e">
        <f t="shared" si="9"/>
        <v>#DIV/0!</v>
      </c>
      <c r="AC65" s="497">
        <f t="shared" si="10"/>
        <v>5923865</v>
      </c>
    </row>
    <row r="66" spans="1:29" ht="19.5" customHeight="1">
      <c r="A66" s="486" t="s">
        <v>463</v>
      </c>
      <c r="B66" s="508" t="s">
        <v>464</v>
      </c>
      <c r="C66" s="481">
        <f t="shared" si="34"/>
        <v>9905354</v>
      </c>
      <c r="D66" s="506">
        <v>8799472</v>
      </c>
      <c r="E66" s="506">
        <v>1105882</v>
      </c>
      <c r="F66" s="506">
        <v>0</v>
      </c>
      <c r="G66" s="506"/>
      <c r="H66" s="481">
        <f t="shared" si="26"/>
        <v>9905354</v>
      </c>
      <c r="I66" s="481">
        <f t="shared" si="37"/>
        <v>8822734</v>
      </c>
      <c r="J66" s="506">
        <v>62677</v>
      </c>
      <c r="K66" s="506"/>
      <c r="L66" s="506">
        <v>0</v>
      </c>
      <c r="M66" s="506">
        <v>7786346</v>
      </c>
      <c r="N66" s="506">
        <v>0</v>
      </c>
      <c r="O66" s="506">
        <v>0</v>
      </c>
      <c r="P66" s="506">
        <v>0</v>
      </c>
      <c r="Q66" s="506">
        <v>973711</v>
      </c>
      <c r="R66" s="506">
        <v>1082620</v>
      </c>
      <c r="S66" s="564">
        <f t="shared" si="38"/>
        <v>9842677</v>
      </c>
      <c r="T66" s="483">
        <f t="shared" si="30"/>
        <v>0.7104033738294728</v>
      </c>
      <c r="U66" s="488">
        <f t="shared" si="8"/>
        <v>0.8907035528462688</v>
      </c>
      <c r="V66" s="529"/>
      <c r="W66" s="543">
        <f t="shared" si="22"/>
        <v>0</v>
      </c>
      <c r="X66" s="447">
        <f t="shared" si="31"/>
        <v>9842677</v>
      </c>
      <c r="Y66" s="447" t="str">
        <f t="shared" si="32"/>
        <v>Đ</v>
      </c>
      <c r="Z66" s="497">
        <f t="shared" si="33"/>
        <v>8760057</v>
      </c>
      <c r="AA66" s="497">
        <v>2397180</v>
      </c>
      <c r="AB66" s="498">
        <f t="shared" si="9"/>
        <v>265.43175731484496</v>
      </c>
      <c r="AC66" s="497">
        <f t="shared" si="10"/>
        <v>6362877</v>
      </c>
    </row>
    <row r="67" spans="1:29" ht="19.5" customHeight="1">
      <c r="A67" s="486" t="s">
        <v>563</v>
      </c>
      <c r="B67" s="508" t="s">
        <v>536</v>
      </c>
      <c r="C67" s="481">
        <f t="shared" si="34"/>
        <v>4984724</v>
      </c>
      <c r="D67" s="506">
        <v>4500692</v>
      </c>
      <c r="E67" s="506">
        <v>484032</v>
      </c>
      <c r="F67" s="506">
        <v>0</v>
      </c>
      <c r="G67" s="506"/>
      <c r="H67" s="481">
        <f t="shared" si="26"/>
        <v>4984724</v>
      </c>
      <c r="I67" s="481">
        <f t="shared" si="37"/>
        <v>4507081</v>
      </c>
      <c r="J67" s="506">
        <v>14122</v>
      </c>
      <c r="K67" s="506">
        <v>15683</v>
      </c>
      <c r="L67" s="506">
        <v>0</v>
      </c>
      <c r="M67" s="506">
        <v>4477276</v>
      </c>
      <c r="N67" s="506">
        <v>0</v>
      </c>
      <c r="O67" s="506">
        <v>0</v>
      </c>
      <c r="P67" s="506">
        <v>0</v>
      </c>
      <c r="Q67" s="506">
        <v>0</v>
      </c>
      <c r="R67" s="506">
        <v>477643</v>
      </c>
      <c r="S67" s="564">
        <f t="shared" si="38"/>
        <v>4954919</v>
      </c>
      <c r="T67" s="483">
        <f t="shared" si="30"/>
        <v>0.6612927524488688</v>
      </c>
      <c r="U67" s="488">
        <f t="shared" si="8"/>
        <v>0.9041786466010957</v>
      </c>
      <c r="V67" s="529"/>
      <c r="W67" s="543">
        <f t="shared" si="22"/>
        <v>0</v>
      </c>
      <c r="X67" s="447">
        <f t="shared" si="31"/>
        <v>4954919</v>
      </c>
      <c r="Y67" s="447" t="str">
        <f t="shared" si="32"/>
        <v>Đ</v>
      </c>
      <c r="Z67" s="547">
        <f t="shared" si="33"/>
        <v>4477276</v>
      </c>
      <c r="AA67" s="547">
        <v>4320969</v>
      </c>
      <c r="AB67" s="498">
        <f t="shared" si="9"/>
        <v>3.617406188287858</v>
      </c>
      <c r="AC67" s="497">
        <f t="shared" si="10"/>
        <v>156307</v>
      </c>
    </row>
    <row r="68" spans="1:29" ht="19.5" customHeight="1">
      <c r="A68" s="562" t="s">
        <v>62</v>
      </c>
      <c r="B68" s="563" t="s">
        <v>462</v>
      </c>
      <c r="C68" s="481">
        <f t="shared" si="34"/>
        <v>152639910</v>
      </c>
      <c r="D68" s="481">
        <f>SUM(D69:D73)</f>
        <v>117011258</v>
      </c>
      <c r="E68" s="481">
        <f>SUM(E69:E73)</f>
        <v>35628652</v>
      </c>
      <c r="F68" s="481">
        <f>SUM(F69:F73)</f>
        <v>0</v>
      </c>
      <c r="G68" s="481">
        <f>SUM(G69:G73)</f>
        <v>0</v>
      </c>
      <c r="H68" s="481">
        <f t="shared" si="26"/>
        <v>152639910</v>
      </c>
      <c r="I68" s="481">
        <f t="shared" si="37"/>
        <v>116147537</v>
      </c>
      <c r="J68" s="481">
        <f aca="true" t="shared" si="40" ref="J68:R68">SUM(J69:J73)</f>
        <v>1414967</v>
      </c>
      <c r="K68" s="481">
        <f t="shared" si="40"/>
        <v>858236</v>
      </c>
      <c r="L68" s="481">
        <f t="shared" si="40"/>
        <v>0</v>
      </c>
      <c r="M68" s="481">
        <f t="shared" si="40"/>
        <v>113841484</v>
      </c>
      <c r="N68" s="481">
        <f t="shared" si="40"/>
        <v>0</v>
      </c>
      <c r="O68" s="481">
        <f t="shared" si="40"/>
        <v>32850</v>
      </c>
      <c r="P68" s="481">
        <f t="shared" si="40"/>
        <v>0</v>
      </c>
      <c r="Q68" s="481">
        <f t="shared" si="40"/>
        <v>0</v>
      </c>
      <c r="R68" s="481">
        <f t="shared" si="40"/>
        <v>36492373</v>
      </c>
      <c r="S68" s="564">
        <f t="shared" si="38"/>
        <v>150366707</v>
      </c>
      <c r="T68" s="483">
        <f t="shared" si="30"/>
        <v>1.9571684933792441</v>
      </c>
      <c r="U68" s="488">
        <f t="shared" si="8"/>
        <v>0.760925088333713</v>
      </c>
      <c r="V68" s="505">
        <f>+V69+V70+V71+V72+V73</f>
        <v>0</v>
      </c>
      <c r="W68" s="543">
        <f t="shared" si="22"/>
        <v>0</v>
      </c>
      <c r="X68" s="447">
        <f t="shared" si="31"/>
        <v>150366707</v>
      </c>
      <c r="Y68" s="447" t="str">
        <f t="shared" si="32"/>
        <v>Đ</v>
      </c>
      <c r="Z68" s="496">
        <f t="shared" si="33"/>
        <v>113874334</v>
      </c>
      <c r="AA68" s="496">
        <f>+AA69+AA70+AA71+AA72+AA73</f>
        <v>46252350</v>
      </c>
      <c r="AB68" s="498">
        <f t="shared" si="9"/>
        <v>146.20226647943292</v>
      </c>
      <c r="AC68" s="497">
        <f t="shared" si="10"/>
        <v>67621984</v>
      </c>
    </row>
    <row r="69" spans="1:29" ht="19.5" customHeight="1">
      <c r="A69" s="486" t="s">
        <v>461</v>
      </c>
      <c r="B69" s="568" t="s">
        <v>457</v>
      </c>
      <c r="C69" s="481">
        <f t="shared" si="34"/>
        <v>13174722</v>
      </c>
      <c r="D69" s="1008">
        <v>12970741</v>
      </c>
      <c r="E69" s="1008">
        <v>203981</v>
      </c>
      <c r="F69" s="1008"/>
      <c r="G69" s="1008"/>
      <c r="H69" s="481">
        <f t="shared" si="26"/>
        <v>13174722</v>
      </c>
      <c r="I69" s="481">
        <f t="shared" si="37"/>
        <v>726710</v>
      </c>
      <c r="J69" s="1008">
        <v>1000</v>
      </c>
      <c r="K69" s="1008"/>
      <c r="L69" s="1008"/>
      <c r="M69" s="1008">
        <v>725710</v>
      </c>
      <c r="N69" s="1008"/>
      <c r="O69" s="1008"/>
      <c r="P69" s="1008"/>
      <c r="Q69" s="1008"/>
      <c r="R69" s="1008">
        <v>12448012</v>
      </c>
      <c r="S69" s="564">
        <f t="shared" si="38"/>
        <v>13173722</v>
      </c>
      <c r="T69" s="483">
        <f t="shared" si="30"/>
        <v>0.1376064730084903</v>
      </c>
      <c r="U69" s="488">
        <f t="shared" si="8"/>
        <v>0.05515941816457304</v>
      </c>
      <c r="V69" s="533"/>
      <c r="W69" s="543">
        <f t="shared" si="22"/>
        <v>0</v>
      </c>
      <c r="X69" s="447">
        <f t="shared" si="31"/>
        <v>13173722</v>
      </c>
      <c r="Y69" s="447" t="str">
        <f t="shared" si="32"/>
        <v>Đ</v>
      </c>
      <c r="Z69" s="497">
        <f t="shared" si="33"/>
        <v>725710</v>
      </c>
      <c r="AA69" s="497">
        <v>11705100</v>
      </c>
      <c r="AB69" s="498">
        <f t="shared" si="9"/>
        <v>-93.80005296836423</v>
      </c>
      <c r="AC69" s="497">
        <f t="shared" si="10"/>
        <v>-10979390</v>
      </c>
    </row>
    <row r="70" spans="1:29" ht="19.5" customHeight="1">
      <c r="A70" s="486" t="s">
        <v>460</v>
      </c>
      <c r="B70" s="569" t="s">
        <v>552</v>
      </c>
      <c r="C70" s="481">
        <f t="shared" si="34"/>
        <v>62345121</v>
      </c>
      <c r="D70" s="1009">
        <v>27586089</v>
      </c>
      <c r="E70" s="1009">
        <v>34759032</v>
      </c>
      <c r="F70" s="1009"/>
      <c r="G70" s="1009"/>
      <c r="H70" s="481">
        <f t="shared" si="26"/>
        <v>62345121</v>
      </c>
      <c r="I70" s="481">
        <f t="shared" si="37"/>
        <v>55351251</v>
      </c>
      <c r="J70" s="1009">
        <v>1271811</v>
      </c>
      <c r="K70" s="1009">
        <v>0</v>
      </c>
      <c r="L70" s="1009"/>
      <c r="M70" s="1009">
        <v>54079440</v>
      </c>
      <c r="N70" s="1009"/>
      <c r="O70" s="1009"/>
      <c r="P70" s="1009"/>
      <c r="Q70" s="1009"/>
      <c r="R70" s="1009">
        <v>6993870</v>
      </c>
      <c r="S70" s="564">
        <f t="shared" si="38"/>
        <v>61073310</v>
      </c>
      <c r="T70" s="483">
        <f t="shared" si="30"/>
        <v>2.2977095856424277</v>
      </c>
      <c r="U70" s="488">
        <f t="shared" si="8"/>
        <v>0.8878200910059987</v>
      </c>
      <c r="V70" s="534"/>
      <c r="W70" s="543">
        <f t="shared" si="22"/>
        <v>0</v>
      </c>
      <c r="X70" s="447">
        <f t="shared" si="31"/>
        <v>61073310</v>
      </c>
      <c r="Y70" s="447" t="str">
        <f t="shared" si="32"/>
        <v>Đ</v>
      </c>
      <c r="Z70" s="497">
        <f t="shared" si="33"/>
        <v>54079440</v>
      </c>
      <c r="AA70" s="497">
        <v>4388460</v>
      </c>
      <c r="AB70" s="498">
        <f t="shared" si="9"/>
        <v>1132.3101953760545</v>
      </c>
      <c r="AC70" s="497">
        <f t="shared" si="10"/>
        <v>49690980</v>
      </c>
    </row>
    <row r="71" spans="1:29" ht="19.5" customHeight="1">
      <c r="A71" s="486" t="s">
        <v>459</v>
      </c>
      <c r="B71" s="568" t="s">
        <v>553</v>
      </c>
      <c r="C71" s="481">
        <f t="shared" si="34"/>
        <v>40033979</v>
      </c>
      <c r="D71" s="1008">
        <v>39804082</v>
      </c>
      <c r="E71" s="1008">
        <v>229897</v>
      </c>
      <c r="F71" s="1008"/>
      <c r="G71" s="1008"/>
      <c r="H71" s="481">
        <f t="shared" si="26"/>
        <v>40033979</v>
      </c>
      <c r="I71" s="481">
        <f t="shared" si="37"/>
        <v>32329999</v>
      </c>
      <c r="J71" s="1008">
        <v>101656</v>
      </c>
      <c r="K71" s="1008">
        <v>788748</v>
      </c>
      <c r="L71" s="1008"/>
      <c r="M71" s="1008">
        <v>31439595</v>
      </c>
      <c r="N71" s="1008"/>
      <c r="O71" s="1008"/>
      <c r="P71" s="1008"/>
      <c r="Q71" s="1008"/>
      <c r="R71" s="1008">
        <v>7703980</v>
      </c>
      <c r="S71" s="564">
        <f t="shared" si="38"/>
        <v>39143575</v>
      </c>
      <c r="T71" s="483">
        <f t="shared" si="30"/>
        <v>2.7541108182527316</v>
      </c>
      <c r="U71" s="488">
        <f t="shared" si="8"/>
        <v>0.8075639695969267</v>
      </c>
      <c r="V71" s="533"/>
      <c r="W71" s="543">
        <f t="shared" si="22"/>
        <v>0</v>
      </c>
      <c r="X71" s="447">
        <f t="shared" si="31"/>
        <v>39143575</v>
      </c>
      <c r="Y71" s="447" t="str">
        <f t="shared" si="32"/>
        <v>Đ</v>
      </c>
      <c r="Z71" s="497">
        <f t="shared" si="33"/>
        <v>31439595</v>
      </c>
      <c r="AA71" s="497">
        <v>4848611</v>
      </c>
      <c r="AB71" s="498">
        <f t="shared" si="9"/>
        <v>548.424775672868</v>
      </c>
      <c r="AC71" s="497">
        <f t="shared" si="10"/>
        <v>26590984</v>
      </c>
    </row>
    <row r="72" spans="1:29" ht="19.5" customHeight="1">
      <c r="A72" s="486" t="s">
        <v>456</v>
      </c>
      <c r="B72" s="569" t="s">
        <v>554</v>
      </c>
      <c r="C72" s="481">
        <f t="shared" si="34"/>
        <v>21425172</v>
      </c>
      <c r="D72" s="1010">
        <v>21359403</v>
      </c>
      <c r="E72" s="1010">
        <f>65767+2</f>
        <v>65769</v>
      </c>
      <c r="F72" s="1010"/>
      <c r="G72" s="1010"/>
      <c r="H72" s="481">
        <f t="shared" si="26"/>
        <v>21425172</v>
      </c>
      <c r="I72" s="481">
        <f t="shared" si="37"/>
        <v>20112161</v>
      </c>
      <c r="J72" s="1010">
        <v>28950</v>
      </c>
      <c r="K72" s="1010">
        <v>69488</v>
      </c>
      <c r="L72" s="1010"/>
      <c r="M72" s="1010">
        <v>20013723</v>
      </c>
      <c r="N72" s="1010"/>
      <c r="O72" s="1010"/>
      <c r="P72" s="1010"/>
      <c r="Q72" s="1010"/>
      <c r="R72" s="1010">
        <v>1313011</v>
      </c>
      <c r="S72" s="564">
        <f t="shared" si="38"/>
        <v>21326734</v>
      </c>
      <c r="T72" s="483">
        <f t="shared" si="30"/>
        <v>0.48944516703103164</v>
      </c>
      <c r="U72" s="488">
        <f t="shared" si="8"/>
        <v>0.938716431307996</v>
      </c>
      <c r="V72" s="533"/>
      <c r="W72" s="543">
        <f t="shared" si="22"/>
        <v>0</v>
      </c>
      <c r="X72" s="447">
        <f t="shared" si="31"/>
        <v>21326734</v>
      </c>
      <c r="Y72" s="447" t="str">
        <f t="shared" si="32"/>
        <v>Đ</v>
      </c>
      <c r="Z72" s="497">
        <f t="shared" si="33"/>
        <v>20013723</v>
      </c>
      <c r="AA72" s="497">
        <v>19385226</v>
      </c>
      <c r="AB72" s="498">
        <f t="shared" si="9"/>
        <v>3.242144301025946</v>
      </c>
      <c r="AC72" s="497">
        <f t="shared" si="10"/>
        <v>628497</v>
      </c>
    </row>
    <row r="73" spans="1:29" ht="19.5" customHeight="1">
      <c r="A73" s="486" t="s">
        <v>555</v>
      </c>
      <c r="B73" s="569" t="s">
        <v>556</v>
      </c>
      <c r="C73" s="481">
        <f t="shared" si="34"/>
        <v>15660916</v>
      </c>
      <c r="D73" s="1008">
        <v>15290943</v>
      </c>
      <c r="E73" s="1008">
        <v>369973</v>
      </c>
      <c r="F73" s="1008"/>
      <c r="G73" s="1008"/>
      <c r="H73" s="481">
        <f t="shared" si="26"/>
        <v>15660916</v>
      </c>
      <c r="I73" s="481">
        <f t="shared" si="37"/>
        <v>7627416</v>
      </c>
      <c r="J73" s="1008">
        <v>11550</v>
      </c>
      <c r="K73" s="1008"/>
      <c r="L73" s="1008"/>
      <c r="M73" s="1008">
        <v>7583016</v>
      </c>
      <c r="N73" s="1008"/>
      <c r="O73" s="1008">
        <v>32850</v>
      </c>
      <c r="P73" s="1008"/>
      <c r="Q73" s="1008"/>
      <c r="R73" s="1008">
        <v>8033500</v>
      </c>
      <c r="S73" s="564">
        <f t="shared" si="38"/>
        <v>15649366</v>
      </c>
      <c r="T73" s="483">
        <f t="shared" si="30"/>
        <v>0.1514274296826081</v>
      </c>
      <c r="U73" s="488">
        <f t="shared" si="8"/>
        <v>0.4870351133994972</v>
      </c>
      <c r="V73" s="533"/>
      <c r="W73" s="543">
        <f t="shared" si="22"/>
        <v>0</v>
      </c>
      <c r="X73" s="447">
        <f t="shared" si="31"/>
        <v>15649366</v>
      </c>
      <c r="Y73" s="447" t="str">
        <f t="shared" si="32"/>
        <v>Đ</v>
      </c>
      <c r="Z73" s="497">
        <f t="shared" si="33"/>
        <v>7615866</v>
      </c>
      <c r="AA73" s="497">
        <v>5924953</v>
      </c>
      <c r="AB73" s="498">
        <f t="shared" si="9"/>
        <v>28.538842417821712</v>
      </c>
      <c r="AC73" s="497">
        <f t="shared" si="10"/>
        <v>1690913</v>
      </c>
    </row>
    <row r="74" spans="1:29" ht="19.5" customHeight="1">
      <c r="A74" s="562" t="s">
        <v>63</v>
      </c>
      <c r="B74" s="563" t="s">
        <v>455</v>
      </c>
      <c r="C74" s="481">
        <f t="shared" si="34"/>
        <v>99304470</v>
      </c>
      <c r="D74" s="481">
        <f>SUM(D75:D79)</f>
        <v>58958406</v>
      </c>
      <c r="E74" s="481">
        <f>SUM(E75:E79)</f>
        <v>40346064</v>
      </c>
      <c r="F74" s="481">
        <f>SUM(F75:F79)</f>
        <v>0</v>
      </c>
      <c r="G74" s="481">
        <f>SUM(G75:G79)</f>
        <v>0</v>
      </c>
      <c r="H74" s="481">
        <f t="shared" si="26"/>
        <v>99304470</v>
      </c>
      <c r="I74" s="481">
        <f t="shared" si="37"/>
        <v>65865722</v>
      </c>
      <c r="J74" s="481">
        <f>SUM(J75:J79)</f>
        <v>789952</v>
      </c>
      <c r="K74" s="481">
        <f>SUM(K75:K79)</f>
        <v>182000</v>
      </c>
      <c r="L74" s="481">
        <f>SUM(L75:L79)</f>
        <v>0</v>
      </c>
      <c r="M74" s="481">
        <f aca="true" t="shared" si="41" ref="M74:R74">SUM(M75:M79)</f>
        <v>64607705</v>
      </c>
      <c r="N74" s="481">
        <f t="shared" si="41"/>
        <v>286065</v>
      </c>
      <c r="O74" s="481">
        <f t="shared" si="41"/>
        <v>0</v>
      </c>
      <c r="P74" s="481">
        <f t="shared" si="41"/>
        <v>0</v>
      </c>
      <c r="Q74" s="481">
        <f t="shared" si="41"/>
        <v>0</v>
      </c>
      <c r="R74" s="481">
        <f t="shared" si="41"/>
        <v>33438748</v>
      </c>
      <c r="S74" s="564">
        <f t="shared" si="38"/>
        <v>98332518</v>
      </c>
      <c r="T74" s="561">
        <f t="shared" si="30"/>
        <v>1.475656791555401</v>
      </c>
      <c r="U74" s="488">
        <f t="shared" si="8"/>
        <v>0.6632704650656712</v>
      </c>
      <c r="V74" s="505">
        <f>SUM(V75:V79)</f>
        <v>0</v>
      </c>
      <c r="W74" s="543">
        <f t="shared" si="22"/>
        <v>0</v>
      </c>
      <c r="X74" s="447">
        <f t="shared" si="31"/>
        <v>98332518</v>
      </c>
      <c r="Y74" s="447" t="str">
        <f t="shared" si="32"/>
        <v>Đ</v>
      </c>
      <c r="Z74" s="496">
        <f t="shared" si="33"/>
        <v>64893770</v>
      </c>
      <c r="AA74" s="496">
        <f>+AA75+AA76+AA78+AA79</f>
        <v>8192858</v>
      </c>
      <c r="AB74" s="498">
        <f t="shared" si="9"/>
        <v>692.077319050324</v>
      </c>
      <c r="AC74" s="497">
        <f t="shared" si="10"/>
        <v>56700912</v>
      </c>
    </row>
    <row r="75" spans="1:29" ht="19.5" customHeight="1">
      <c r="A75" s="486" t="s">
        <v>454</v>
      </c>
      <c r="B75" s="508" t="s">
        <v>453</v>
      </c>
      <c r="C75" s="481">
        <f t="shared" si="34"/>
        <v>2308560</v>
      </c>
      <c r="D75" s="559">
        <v>2304101</v>
      </c>
      <c r="E75" s="554">
        <v>4459</v>
      </c>
      <c r="F75" s="554">
        <v>0</v>
      </c>
      <c r="G75" s="506">
        <v>0</v>
      </c>
      <c r="H75" s="481">
        <f t="shared" si="26"/>
        <v>2308560</v>
      </c>
      <c r="I75" s="481">
        <f t="shared" si="37"/>
        <v>223609</v>
      </c>
      <c r="J75" s="554">
        <v>80276</v>
      </c>
      <c r="K75" s="554"/>
      <c r="L75" s="554"/>
      <c r="M75" s="554">
        <v>143333</v>
      </c>
      <c r="N75" s="554">
        <v>0</v>
      </c>
      <c r="O75" s="554"/>
      <c r="P75" s="554"/>
      <c r="Q75" s="554">
        <v>0</v>
      </c>
      <c r="R75" s="555">
        <v>2084951</v>
      </c>
      <c r="S75" s="564">
        <f t="shared" si="38"/>
        <v>2228284</v>
      </c>
      <c r="T75" s="483">
        <f t="shared" si="30"/>
        <v>35.900165020191494</v>
      </c>
      <c r="U75" s="488">
        <f t="shared" si="8"/>
        <v>0.0968608136673944</v>
      </c>
      <c r="V75" s="521"/>
      <c r="W75" s="543">
        <f t="shared" si="22"/>
        <v>0</v>
      </c>
      <c r="X75" s="447">
        <f t="shared" si="31"/>
        <v>2228284</v>
      </c>
      <c r="Y75" s="447" t="str">
        <f t="shared" si="32"/>
        <v>Đ</v>
      </c>
      <c r="Z75" s="497">
        <f t="shared" si="33"/>
        <v>143333</v>
      </c>
      <c r="AA75" s="497">
        <v>380833</v>
      </c>
      <c r="AB75" s="498">
        <f t="shared" si="9"/>
        <v>-62.36329309697426</v>
      </c>
      <c r="AC75" s="497">
        <f t="shared" si="10"/>
        <v>-237500</v>
      </c>
    </row>
    <row r="76" spans="1:29" ht="19.5" customHeight="1">
      <c r="A76" s="486" t="s">
        <v>452</v>
      </c>
      <c r="B76" s="508" t="s">
        <v>451</v>
      </c>
      <c r="C76" s="481">
        <f t="shared" si="34"/>
        <v>54161283</v>
      </c>
      <c r="D76" s="559">
        <v>19670123</v>
      </c>
      <c r="E76" s="554">
        <v>34491160</v>
      </c>
      <c r="F76" s="554">
        <v>0</v>
      </c>
      <c r="G76" s="506"/>
      <c r="H76" s="481">
        <f t="shared" si="26"/>
        <v>54161283</v>
      </c>
      <c r="I76" s="481">
        <f t="shared" si="37"/>
        <v>38066329</v>
      </c>
      <c r="J76" s="554">
        <v>141630</v>
      </c>
      <c r="K76" s="554">
        <v>0</v>
      </c>
      <c r="L76" s="554"/>
      <c r="M76" s="554">
        <v>37638634</v>
      </c>
      <c r="N76" s="554">
        <v>286065</v>
      </c>
      <c r="O76" s="554"/>
      <c r="P76" s="554"/>
      <c r="Q76" s="554"/>
      <c r="R76" s="555">
        <v>16094954</v>
      </c>
      <c r="S76" s="564">
        <f t="shared" si="38"/>
        <v>54019653</v>
      </c>
      <c r="T76" s="483">
        <f t="shared" si="30"/>
        <v>0.37206109367677664</v>
      </c>
      <c r="U76" s="488">
        <f t="shared" si="8"/>
        <v>0.70283285202088</v>
      </c>
      <c r="V76" s="521"/>
      <c r="W76" s="543">
        <f t="shared" si="22"/>
        <v>0</v>
      </c>
      <c r="X76" s="447">
        <f t="shared" si="31"/>
        <v>54019653</v>
      </c>
      <c r="Y76" s="447" t="str">
        <f t="shared" si="32"/>
        <v>Đ</v>
      </c>
      <c r="Z76" s="497">
        <f t="shared" si="33"/>
        <v>37924699</v>
      </c>
      <c r="AA76" s="497">
        <v>1478545</v>
      </c>
      <c r="AB76" s="498">
        <f t="shared" si="9"/>
        <v>2465.0013357726684</v>
      </c>
      <c r="AC76" s="497">
        <f t="shared" si="10"/>
        <v>36446154</v>
      </c>
    </row>
    <row r="77" spans="1:29" ht="19.5" customHeight="1">
      <c r="A77" s="486" t="s">
        <v>450</v>
      </c>
      <c r="B77" s="508" t="s">
        <v>558</v>
      </c>
      <c r="C77" s="481">
        <f t="shared" si="34"/>
        <v>11383218</v>
      </c>
      <c r="D77" s="559">
        <v>7582147</v>
      </c>
      <c r="E77" s="554">
        <v>3801071</v>
      </c>
      <c r="F77" s="554">
        <v>0</v>
      </c>
      <c r="G77" s="506"/>
      <c r="H77" s="481">
        <f t="shared" si="26"/>
        <v>11383218</v>
      </c>
      <c r="I77" s="481">
        <f t="shared" si="37"/>
        <v>8361300</v>
      </c>
      <c r="J77" s="554">
        <v>414903</v>
      </c>
      <c r="K77" s="554">
        <v>182000</v>
      </c>
      <c r="L77" s="554">
        <v>0</v>
      </c>
      <c r="M77" s="554">
        <v>7764397</v>
      </c>
      <c r="N77" s="554"/>
      <c r="O77" s="554"/>
      <c r="P77" s="554"/>
      <c r="Q77" s="554">
        <v>0</v>
      </c>
      <c r="R77" s="555">
        <v>3021918</v>
      </c>
      <c r="S77" s="564">
        <f t="shared" si="38"/>
        <v>10786315</v>
      </c>
      <c r="T77" s="483">
        <f t="shared" si="30"/>
        <v>7.138877925681412</v>
      </c>
      <c r="U77" s="488">
        <f t="shared" si="8"/>
        <v>0.7345286719449632</v>
      </c>
      <c r="V77" s="521"/>
      <c r="W77" s="543">
        <f t="shared" si="22"/>
        <v>0</v>
      </c>
      <c r="X77" s="447">
        <f t="shared" si="31"/>
        <v>10786315</v>
      </c>
      <c r="Y77" s="447" t="str">
        <f t="shared" si="32"/>
        <v>Đ</v>
      </c>
      <c r="Z77" s="497"/>
      <c r="AA77" s="497"/>
      <c r="AB77" s="498"/>
      <c r="AC77" s="497"/>
    </row>
    <row r="78" spans="1:29" ht="19.5" customHeight="1">
      <c r="A78" s="486" t="s">
        <v>449</v>
      </c>
      <c r="B78" s="508" t="s">
        <v>448</v>
      </c>
      <c r="C78" s="481">
        <f t="shared" si="34"/>
        <v>22859725</v>
      </c>
      <c r="D78" s="560">
        <v>21543233</v>
      </c>
      <c r="E78" s="506">
        <v>1316492</v>
      </c>
      <c r="F78" s="554">
        <v>0</v>
      </c>
      <c r="G78" s="575">
        <v>0</v>
      </c>
      <c r="H78" s="481">
        <f t="shared" si="26"/>
        <v>22859725</v>
      </c>
      <c r="I78" s="481">
        <f t="shared" si="37"/>
        <v>13306392</v>
      </c>
      <c r="J78" s="554">
        <v>137387</v>
      </c>
      <c r="K78" s="506"/>
      <c r="L78" s="506">
        <v>0</v>
      </c>
      <c r="M78" s="506">
        <v>13169005</v>
      </c>
      <c r="N78" s="506">
        <v>0</v>
      </c>
      <c r="O78" s="506">
        <v>0</v>
      </c>
      <c r="P78" s="506">
        <v>0</v>
      </c>
      <c r="Q78" s="506">
        <v>0</v>
      </c>
      <c r="R78" s="506">
        <v>9553333</v>
      </c>
      <c r="S78" s="564">
        <f t="shared" si="38"/>
        <v>22722338</v>
      </c>
      <c r="T78" s="483">
        <f t="shared" si="30"/>
        <v>1.0324887467617065</v>
      </c>
      <c r="U78" s="488">
        <f t="shared" si="8"/>
        <v>0.5820888921454654</v>
      </c>
      <c r="V78" s="521"/>
      <c r="W78" s="543">
        <f t="shared" si="22"/>
        <v>0</v>
      </c>
      <c r="X78" s="447">
        <f t="shared" si="31"/>
        <v>22722338</v>
      </c>
      <c r="Y78" s="447" t="str">
        <f t="shared" si="32"/>
        <v>Đ</v>
      </c>
      <c r="Z78" s="497">
        <f t="shared" si="33"/>
        <v>13169005</v>
      </c>
      <c r="AA78" s="497">
        <v>2577813</v>
      </c>
      <c r="AB78" s="498">
        <f t="shared" si="9"/>
        <v>410.8595929960784</v>
      </c>
      <c r="AC78" s="497">
        <f t="shared" si="10"/>
        <v>10591192</v>
      </c>
    </row>
    <row r="79" spans="1:29" ht="19.5" customHeight="1">
      <c r="A79" s="486" t="s">
        <v>557</v>
      </c>
      <c r="B79" s="570" t="s">
        <v>535</v>
      </c>
      <c r="C79" s="481">
        <f t="shared" si="34"/>
        <v>8591684</v>
      </c>
      <c r="D79" s="559">
        <v>7858802</v>
      </c>
      <c r="E79" s="554">
        <v>732882</v>
      </c>
      <c r="F79" s="554">
        <v>0</v>
      </c>
      <c r="G79" s="506">
        <v>0</v>
      </c>
      <c r="H79" s="481">
        <f t="shared" si="26"/>
        <v>8591684</v>
      </c>
      <c r="I79" s="481">
        <f t="shared" si="37"/>
        <v>5908092</v>
      </c>
      <c r="J79" s="554">
        <v>15756</v>
      </c>
      <c r="K79" s="554">
        <v>0</v>
      </c>
      <c r="L79" s="554">
        <v>0</v>
      </c>
      <c r="M79" s="554">
        <v>5892336</v>
      </c>
      <c r="N79" s="554"/>
      <c r="O79" s="554">
        <v>0</v>
      </c>
      <c r="P79" s="554"/>
      <c r="Q79" s="554">
        <v>0</v>
      </c>
      <c r="R79" s="555">
        <v>2683592</v>
      </c>
      <c r="S79" s="564">
        <f t="shared" si="38"/>
        <v>8575928</v>
      </c>
      <c r="T79" s="483">
        <f t="shared" si="30"/>
        <v>0.266685082087415</v>
      </c>
      <c r="U79" s="488">
        <f t="shared" si="8"/>
        <v>0.6876523857255458</v>
      </c>
      <c r="V79" s="521"/>
      <c r="W79" s="543">
        <f t="shared" si="22"/>
        <v>0</v>
      </c>
      <c r="X79" s="447">
        <f t="shared" si="31"/>
        <v>8575928</v>
      </c>
      <c r="Y79" s="447" t="str">
        <f t="shared" si="32"/>
        <v>Đ</v>
      </c>
      <c r="Z79" s="497">
        <f t="shared" si="33"/>
        <v>5892336</v>
      </c>
      <c r="AA79" s="497">
        <v>3755667</v>
      </c>
      <c r="AB79" s="498">
        <f t="shared" si="9"/>
        <v>56.891865013591456</v>
      </c>
      <c r="AC79" s="497">
        <f t="shared" si="10"/>
        <v>2136669</v>
      </c>
    </row>
    <row r="80" spans="1:22" s="379" customFormat="1" ht="29.25" customHeight="1">
      <c r="A80" s="981"/>
      <c r="B80" s="981"/>
      <c r="C80" s="981"/>
      <c r="D80" s="981"/>
      <c r="E80" s="981"/>
      <c r="F80" s="419"/>
      <c r="G80" s="390"/>
      <c r="H80" s="484"/>
      <c r="I80" s="390"/>
      <c r="J80" s="390"/>
      <c r="K80" s="477"/>
      <c r="L80" s="390"/>
      <c r="M80" s="479"/>
      <c r="N80" s="390"/>
      <c r="O80" s="979" t="str">
        <f>'Thong tin'!B8</f>
        <v>Trà Vinh, ngày 04 tháng11 năm 2019</v>
      </c>
      <c r="P80" s="979"/>
      <c r="Q80" s="979"/>
      <c r="R80" s="979"/>
      <c r="S80" s="979"/>
      <c r="T80" s="979"/>
      <c r="U80" s="452"/>
      <c r="V80" s="452"/>
    </row>
    <row r="81" spans="1:22" s="412" customFormat="1" ht="19.5" customHeight="1">
      <c r="A81" s="402"/>
      <c r="B81" s="980" t="s">
        <v>4</v>
      </c>
      <c r="C81" s="980"/>
      <c r="D81" s="980"/>
      <c r="E81" s="980"/>
      <c r="F81" s="401"/>
      <c r="G81" s="401"/>
      <c r="H81" s="401"/>
      <c r="I81" s="401"/>
      <c r="J81" s="401"/>
      <c r="K81" s="401"/>
      <c r="L81" s="401"/>
      <c r="M81" s="401"/>
      <c r="N81" s="401"/>
      <c r="O81" s="974" t="str">
        <f>'Thong tin'!B7</f>
        <v>PHÓ CỤC TRƯỞNG</v>
      </c>
      <c r="P81" s="974"/>
      <c r="Q81" s="974"/>
      <c r="R81" s="974"/>
      <c r="S81" s="974"/>
      <c r="T81" s="974"/>
      <c r="U81" s="451"/>
      <c r="V81" s="451"/>
    </row>
    <row r="82" spans="1:23" ht="18.75">
      <c r="A82" s="387"/>
      <c r="B82" s="389"/>
      <c r="C82" s="439"/>
      <c r="D82" s="439"/>
      <c r="E82" s="441"/>
      <c r="F82" s="441"/>
      <c r="G82" s="441"/>
      <c r="H82" s="441"/>
      <c r="I82" s="441"/>
      <c r="J82" s="441"/>
      <c r="K82" s="441"/>
      <c r="L82" s="441"/>
      <c r="M82" s="441"/>
      <c r="N82" s="441"/>
      <c r="O82" s="441"/>
      <c r="P82" s="441"/>
      <c r="Q82" s="441"/>
      <c r="R82" s="441"/>
      <c r="S82" s="441"/>
      <c r="T82" s="443"/>
      <c r="U82" s="443"/>
      <c r="V82" s="531"/>
      <c r="W82" s="445"/>
    </row>
    <row r="83" spans="1:22" ht="18.75">
      <c r="A83" s="387"/>
      <c r="B83" s="387"/>
      <c r="C83" s="444"/>
      <c r="D83" s="444"/>
      <c r="E83" s="444"/>
      <c r="F83" s="444"/>
      <c r="G83" s="444"/>
      <c r="H83" s="444"/>
      <c r="I83" s="444"/>
      <c r="J83" s="444"/>
      <c r="K83" s="444"/>
      <c r="L83" s="444"/>
      <c r="M83" s="444"/>
      <c r="N83" s="444"/>
      <c r="O83" s="444"/>
      <c r="P83" s="444"/>
      <c r="Q83" s="444"/>
      <c r="R83" s="444"/>
      <c r="S83" s="444"/>
      <c r="T83" s="444"/>
      <c r="U83" s="504"/>
      <c r="V83" s="504"/>
    </row>
    <row r="84" spans="1:22" ht="15.75">
      <c r="A84" s="386"/>
      <c r="B84" s="1003"/>
      <c r="C84" s="1003"/>
      <c r="D84" s="1003"/>
      <c r="E84" s="410"/>
      <c r="F84" s="410"/>
      <c r="G84" s="410"/>
      <c r="H84" s="410"/>
      <c r="I84" s="410"/>
      <c r="J84" s="410"/>
      <c r="K84" s="410"/>
      <c r="L84" s="410"/>
      <c r="M84" s="410"/>
      <c r="N84" s="410"/>
      <c r="O84" s="410"/>
      <c r="P84" s="410"/>
      <c r="Q84" s="1003"/>
      <c r="R84" s="1003"/>
      <c r="S84" s="1003"/>
      <c r="T84" s="386"/>
      <c r="U84" s="386"/>
      <c r="V84" s="386"/>
    </row>
    <row r="85" spans="1:22" ht="15.75" customHeight="1">
      <c r="A85" s="411"/>
      <c r="B85" s="386"/>
      <c r="C85" s="480"/>
      <c r="D85" s="480"/>
      <c r="E85" s="480"/>
      <c r="F85" s="480"/>
      <c r="G85" s="485"/>
      <c r="H85" s="480"/>
      <c r="I85" s="480"/>
      <c r="J85" s="480"/>
      <c r="K85" s="480"/>
      <c r="L85" s="480"/>
      <c r="M85" s="480"/>
      <c r="N85" s="480"/>
      <c r="O85" s="410"/>
      <c r="P85" s="410"/>
      <c r="Q85" s="410"/>
      <c r="R85" s="448"/>
      <c r="S85" s="386"/>
      <c r="T85" s="386"/>
      <c r="U85" s="386"/>
      <c r="V85" s="386"/>
    </row>
    <row r="86" spans="1:22" ht="15.75" customHeight="1">
      <c r="A86" s="386"/>
      <c r="B86" s="552"/>
      <c r="C86" s="552"/>
      <c r="D86" s="552"/>
      <c r="E86" s="552"/>
      <c r="F86" s="552"/>
      <c r="G86" s="552"/>
      <c r="H86" s="552"/>
      <c r="I86" s="552"/>
      <c r="J86" s="552"/>
      <c r="K86" s="552"/>
      <c r="L86" s="552"/>
      <c r="M86" s="552"/>
      <c r="N86" s="552"/>
      <c r="O86" s="552"/>
      <c r="P86" s="552"/>
      <c r="Q86" s="410"/>
      <c r="R86" s="410"/>
      <c r="S86" s="386"/>
      <c r="T86" s="386"/>
      <c r="U86" s="386"/>
      <c r="V86" s="386"/>
    </row>
    <row r="87" spans="1:22" ht="15.75">
      <c r="A87" s="409"/>
      <c r="B87" s="409"/>
      <c r="C87" s="409"/>
      <c r="D87" s="409"/>
      <c r="E87" s="409"/>
      <c r="F87" s="409"/>
      <c r="G87" s="409"/>
      <c r="H87" s="409"/>
      <c r="I87" s="409"/>
      <c r="J87" s="409"/>
      <c r="K87" s="409"/>
      <c r="L87" s="409"/>
      <c r="M87" s="409"/>
      <c r="N87" s="409"/>
      <c r="O87" s="409"/>
      <c r="P87" s="409"/>
      <c r="Q87" s="409"/>
      <c r="R87" s="386"/>
      <c r="S87" s="386"/>
      <c r="T87" s="386"/>
      <c r="U87" s="386"/>
      <c r="V87" s="386"/>
    </row>
    <row r="88" spans="1:22" ht="18.75">
      <c r="A88" s="386"/>
      <c r="B88" s="973" t="str">
        <f>'Thong tin'!B5</f>
        <v>Nhan Quốc Hải</v>
      </c>
      <c r="C88" s="973"/>
      <c r="D88" s="973"/>
      <c r="E88" s="973"/>
      <c r="F88" s="386"/>
      <c r="G88" s="386"/>
      <c r="H88" s="386"/>
      <c r="I88" s="386"/>
      <c r="J88" s="386"/>
      <c r="K88" s="386"/>
      <c r="L88" s="386"/>
      <c r="M88" s="386"/>
      <c r="N88" s="386"/>
      <c r="O88" s="973" t="str">
        <f>'Thong tin'!B6</f>
        <v>Nguyễn Minh Khiêm</v>
      </c>
      <c r="P88" s="973"/>
      <c r="Q88" s="973"/>
      <c r="R88" s="973"/>
      <c r="S88" s="973"/>
      <c r="T88" s="973"/>
      <c r="U88" s="450"/>
      <c r="V88" s="450"/>
    </row>
    <row r="89" spans="2:22" ht="18.75">
      <c r="B89" s="1000"/>
      <c r="C89" s="1000"/>
      <c r="D89" s="1000"/>
      <c r="E89" s="1000"/>
      <c r="P89" s="1000"/>
      <c r="Q89" s="1000"/>
      <c r="R89" s="1000"/>
      <c r="S89" s="1000"/>
      <c r="T89" s="1001"/>
      <c r="U89" s="503"/>
      <c r="V89" s="503"/>
    </row>
  </sheetData>
  <sheetProtection/>
  <mergeCells count="37">
    <mergeCell ref="B89:E89"/>
    <mergeCell ref="P89:T89"/>
    <mergeCell ref="B88:E88"/>
    <mergeCell ref="A11:B11"/>
    <mergeCell ref="O88:T88"/>
    <mergeCell ref="Q84:S84"/>
    <mergeCell ref="B81:E81"/>
    <mergeCell ref="B84:D84"/>
    <mergeCell ref="A2:D2"/>
    <mergeCell ref="Q2:T2"/>
    <mergeCell ref="Q4:T4"/>
    <mergeCell ref="O81:T81"/>
    <mergeCell ref="T6:T9"/>
    <mergeCell ref="I7:Q7"/>
    <mergeCell ref="O80:T80"/>
    <mergeCell ref="S6:S9"/>
    <mergeCell ref="A3:D3"/>
    <mergeCell ref="A80:E80"/>
    <mergeCell ref="U6:U9"/>
    <mergeCell ref="R7:R9"/>
    <mergeCell ref="I8:I9"/>
    <mergeCell ref="J8:Q8"/>
    <mergeCell ref="H7:H9"/>
    <mergeCell ref="E1:P1"/>
    <mergeCell ref="E2:P2"/>
    <mergeCell ref="E3:P3"/>
    <mergeCell ref="F6:F9"/>
    <mergeCell ref="G6:G9"/>
    <mergeCell ref="A6:B9"/>
    <mergeCell ref="A10:B10"/>
    <mergeCell ref="Q5:T5"/>
    <mergeCell ref="D7:E7"/>
    <mergeCell ref="D8:D9"/>
    <mergeCell ref="E8:E9"/>
    <mergeCell ref="H6:R6"/>
    <mergeCell ref="C6:E6"/>
    <mergeCell ref="C7:C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42" t="s">
        <v>29</v>
      </c>
      <c r="B1" s="642"/>
      <c r="C1" s="642"/>
      <c r="D1" s="642"/>
      <c r="E1" s="641" t="s">
        <v>375</v>
      </c>
      <c r="F1" s="641"/>
      <c r="G1" s="641"/>
      <c r="H1" s="641"/>
      <c r="I1" s="641"/>
      <c r="J1" s="641"/>
      <c r="K1" s="641"/>
      <c r="L1" s="31" t="s">
        <v>351</v>
      </c>
      <c r="M1" s="31"/>
      <c r="N1" s="31"/>
      <c r="O1" s="32"/>
      <c r="P1" s="32"/>
    </row>
    <row r="2" spans="1:16" ht="15.75" customHeight="1">
      <c r="A2" s="628" t="s">
        <v>245</v>
      </c>
      <c r="B2" s="628"/>
      <c r="C2" s="628"/>
      <c r="D2" s="628"/>
      <c r="E2" s="641"/>
      <c r="F2" s="641"/>
      <c r="G2" s="641"/>
      <c r="H2" s="641"/>
      <c r="I2" s="641"/>
      <c r="J2" s="641"/>
      <c r="K2" s="641"/>
      <c r="L2" s="636" t="s">
        <v>254</v>
      </c>
      <c r="M2" s="636"/>
      <c r="N2" s="636"/>
      <c r="O2" s="35"/>
      <c r="P2" s="32"/>
    </row>
    <row r="3" spans="1:16" ht="18" customHeight="1">
      <c r="A3" s="628" t="s">
        <v>246</v>
      </c>
      <c r="B3" s="628"/>
      <c r="C3" s="628"/>
      <c r="D3" s="628"/>
      <c r="E3" s="629" t="s">
        <v>371</v>
      </c>
      <c r="F3" s="629"/>
      <c r="G3" s="629"/>
      <c r="H3" s="629"/>
      <c r="I3" s="629"/>
      <c r="J3" s="629"/>
      <c r="K3" s="36"/>
      <c r="L3" s="637" t="s">
        <v>370</v>
      </c>
      <c r="M3" s="637"/>
      <c r="N3" s="637"/>
      <c r="O3" s="32"/>
      <c r="P3" s="32"/>
    </row>
    <row r="4" spans="1:16" ht="21" customHeight="1">
      <c r="A4" s="640" t="s">
        <v>257</v>
      </c>
      <c r="B4" s="640"/>
      <c r="C4" s="640"/>
      <c r="D4" s="640"/>
      <c r="E4" s="39"/>
      <c r="F4" s="40"/>
      <c r="G4" s="41"/>
      <c r="H4" s="41"/>
      <c r="I4" s="41"/>
      <c r="J4" s="41"/>
      <c r="K4" s="32"/>
      <c r="L4" s="636" t="s">
        <v>252</v>
      </c>
      <c r="M4" s="636"/>
      <c r="N4" s="636"/>
      <c r="O4" s="35"/>
      <c r="P4" s="32"/>
    </row>
    <row r="5" spans="1:16" ht="18" customHeight="1">
      <c r="A5" s="41"/>
      <c r="B5" s="32"/>
      <c r="C5" s="42"/>
      <c r="D5" s="638"/>
      <c r="E5" s="638"/>
      <c r="F5" s="638"/>
      <c r="G5" s="638"/>
      <c r="H5" s="638"/>
      <c r="I5" s="638"/>
      <c r="J5" s="638"/>
      <c r="K5" s="638"/>
      <c r="L5" s="43" t="s">
        <v>258</v>
      </c>
      <c r="M5" s="43"/>
      <c r="N5" s="43"/>
      <c r="O5" s="32"/>
      <c r="P5" s="32"/>
    </row>
    <row r="6" spans="1:18" ht="33" customHeight="1">
      <c r="A6" s="646" t="s">
        <v>57</v>
      </c>
      <c r="B6" s="647"/>
      <c r="C6" s="639" t="s">
        <v>259</v>
      </c>
      <c r="D6" s="639"/>
      <c r="E6" s="639"/>
      <c r="F6" s="639"/>
      <c r="G6" s="615" t="s">
        <v>7</v>
      </c>
      <c r="H6" s="616"/>
      <c r="I6" s="616"/>
      <c r="J6" s="616"/>
      <c r="K6" s="616"/>
      <c r="L6" s="616"/>
      <c r="M6" s="616"/>
      <c r="N6" s="617"/>
      <c r="O6" s="620" t="s">
        <v>260</v>
      </c>
      <c r="P6" s="621"/>
      <c r="Q6" s="621"/>
      <c r="R6" s="622"/>
    </row>
    <row r="7" spans="1:18" ht="29.25" customHeight="1">
      <c r="A7" s="648"/>
      <c r="B7" s="649"/>
      <c r="C7" s="639"/>
      <c r="D7" s="639"/>
      <c r="E7" s="639"/>
      <c r="F7" s="639"/>
      <c r="G7" s="615" t="s">
        <v>261</v>
      </c>
      <c r="H7" s="616"/>
      <c r="I7" s="616"/>
      <c r="J7" s="617"/>
      <c r="K7" s="615" t="s">
        <v>92</v>
      </c>
      <c r="L7" s="616"/>
      <c r="M7" s="616"/>
      <c r="N7" s="617"/>
      <c r="O7" s="45" t="s">
        <v>262</v>
      </c>
      <c r="P7" s="45" t="s">
        <v>263</v>
      </c>
      <c r="Q7" s="623" t="s">
        <v>264</v>
      </c>
      <c r="R7" s="623" t="s">
        <v>265</v>
      </c>
    </row>
    <row r="8" spans="1:18" ht="26.25" customHeight="1">
      <c r="A8" s="648"/>
      <c r="B8" s="649"/>
      <c r="C8" s="618" t="s">
        <v>89</v>
      </c>
      <c r="D8" s="645"/>
      <c r="E8" s="618" t="s">
        <v>88</v>
      </c>
      <c r="F8" s="645"/>
      <c r="G8" s="618" t="s">
        <v>90</v>
      </c>
      <c r="H8" s="619"/>
      <c r="I8" s="618" t="s">
        <v>91</v>
      </c>
      <c r="J8" s="619"/>
      <c r="K8" s="618" t="s">
        <v>93</v>
      </c>
      <c r="L8" s="619"/>
      <c r="M8" s="618" t="s">
        <v>94</v>
      </c>
      <c r="N8" s="619"/>
      <c r="O8" s="625" t="s">
        <v>266</v>
      </c>
      <c r="P8" s="626" t="s">
        <v>267</v>
      </c>
      <c r="Q8" s="623"/>
      <c r="R8" s="623"/>
    </row>
    <row r="9" spans="1:18" ht="30.75" customHeight="1">
      <c r="A9" s="648"/>
      <c r="B9" s="649"/>
      <c r="C9" s="46" t="s">
        <v>3</v>
      </c>
      <c r="D9" s="44" t="s">
        <v>9</v>
      </c>
      <c r="E9" s="44" t="s">
        <v>3</v>
      </c>
      <c r="F9" s="44" t="s">
        <v>9</v>
      </c>
      <c r="G9" s="47" t="s">
        <v>3</v>
      </c>
      <c r="H9" s="47" t="s">
        <v>9</v>
      </c>
      <c r="I9" s="47" t="s">
        <v>3</v>
      </c>
      <c r="J9" s="47" t="s">
        <v>9</v>
      </c>
      <c r="K9" s="47" t="s">
        <v>3</v>
      </c>
      <c r="L9" s="47" t="s">
        <v>9</v>
      </c>
      <c r="M9" s="47" t="s">
        <v>3</v>
      </c>
      <c r="N9" s="47" t="s">
        <v>9</v>
      </c>
      <c r="O9" s="625"/>
      <c r="P9" s="627"/>
      <c r="Q9" s="624"/>
      <c r="R9" s="624"/>
    </row>
    <row r="10" spans="1:18" s="52" customFormat="1" ht="18" customHeight="1">
      <c r="A10" s="632" t="s">
        <v>6</v>
      </c>
      <c r="B10" s="632"/>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34" t="s">
        <v>268</v>
      </c>
      <c r="B11" s="635"/>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52" t="s">
        <v>372</v>
      </c>
      <c r="B12" s="653"/>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50" t="s">
        <v>31</v>
      </c>
      <c r="B13" s="651"/>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269</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270</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271</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272</v>
      </c>
    </row>
    <row r="18" spans="1:18" s="70" customFormat="1" ht="18" customHeight="1">
      <c r="A18" s="66" t="s">
        <v>49</v>
      </c>
      <c r="B18" s="67" t="s">
        <v>273</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274</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275</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276</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277</v>
      </c>
      <c r="AK21" s="52" t="s">
        <v>278</v>
      </c>
      <c r="AL21" s="52" t="s">
        <v>279</v>
      </c>
      <c r="AM21" s="63" t="s">
        <v>280</v>
      </c>
    </row>
    <row r="22" spans="1:39" s="52" customFormat="1" ht="18" customHeight="1">
      <c r="A22" s="66" t="s">
        <v>61</v>
      </c>
      <c r="B22" s="67" t="s">
        <v>281</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282</v>
      </c>
    </row>
    <row r="23" spans="1:18" s="52" customFormat="1" ht="18" customHeight="1">
      <c r="A23" s="66" t="s">
        <v>62</v>
      </c>
      <c r="B23" s="67" t="s">
        <v>283</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284</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277</v>
      </c>
    </row>
    <row r="25" spans="1:36" s="52" customFormat="1" ht="18" customHeight="1">
      <c r="A25" s="66" t="s">
        <v>83</v>
      </c>
      <c r="B25" s="67" t="s">
        <v>285</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286</v>
      </c>
    </row>
    <row r="26" spans="1:44" s="52" customFormat="1" ht="18" customHeight="1">
      <c r="A26" s="66" t="s">
        <v>84</v>
      </c>
      <c r="B26" s="67" t="s">
        <v>287</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33" t="s">
        <v>373</v>
      </c>
      <c r="C28" s="633"/>
      <c r="D28" s="633"/>
      <c r="E28" s="633"/>
      <c r="F28" s="75"/>
      <c r="G28" s="76"/>
      <c r="H28" s="76"/>
      <c r="I28" s="76"/>
      <c r="J28" s="633" t="s">
        <v>374</v>
      </c>
      <c r="K28" s="633"/>
      <c r="L28" s="633"/>
      <c r="M28" s="633"/>
      <c r="N28" s="633"/>
      <c r="O28" s="77"/>
      <c r="P28" s="77"/>
      <c r="AG28" s="78" t="s">
        <v>289</v>
      </c>
      <c r="AI28" s="79">
        <f>82/88</f>
        <v>0.9318181818181818</v>
      </c>
    </row>
    <row r="29" spans="1:16" s="85" customFormat="1" ht="19.5" customHeight="1">
      <c r="A29" s="80"/>
      <c r="B29" s="612" t="s">
        <v>35</v>
      </c>
      <c r="C29" s="612"/>
      <c r="D29" s="612"/>
      <c r="E29" s="612"/>
      <c r="F29" s="82"/>
      <c r="G29" s="83"/>
      <c r="H29" s="83"/>
      <c r="I29" s="83"/>
      <c r="J29" s="612" t="s">
        <v>290</v>
      </c>
      <c r="K29" s="612"/>
      <c r="L29" s="612"/>
      <c r="M29" s="612"/>
      <c r="N29" s="612"/>
      <c r="O29" s="84"/>
      <c r="P29" s="84"/>
    </row>
    <row r="30" spans="1:16" s="85" customFormat="1" ht="19.5" customHeight="1">
      <c r="A30" s="80"/>
      <c r="B30" s="630"/>
      <c r="C30" s="630"/>
      <c r="D30" s="630"/>
      <c r="E30" s="82"/>
      <c r="F30" s="82"/>
      <c r="G30" s="83"/>
      <c r="H30" s="83"/>
      <c r="I30" s="83"/>
      <c r="J30" s="631"/>
      <c r="K30" s="631"/>
      <c r="L30" s="631"/>
      <c r="M30" s="631"/>
      <c r="N30" s="631"/>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14" t="s">
        <v>291</v>
      </c>
      <c r="C32" s="614"/>
      <c r="D32" s="614"/>
      <c r="E32" s="614"/>
      <c r="F32" s="87"/>
      <c r="G32" s="88"/>
      <c r="H32" s="88"/>
      <c r="I32" s="88"/>
      <c r="J32" s="613" t="s">
        <v>291</v>
      </c>
      <c r="K32" s="613"/>
      <c r="L32" s="613"/>
      <c r="M32" s="613"/>
      <c r="N32" s="613"/>
      <c r="O32" s="84"/>
      <c r="P32" s="84"/>
    </row>
    <row r="33" spans="1:16" s="85" customFormat="1" ht="19.5" customHeight="1">
      <c r="A33" s="80"/>
      <c r="B33" s="612" t="s">
        <v>292</v>
      </c>
      <c r="C33" s="612"/>
      <c r="D33" s="612"/>
      <c r="E33" s="612"/>
      <c r="F33" s="82"/>
      <c r="G33" s="83"/>
      <c r="H33" s="83"/>
      <c r="I33" s="83"/>
      <c r="J33" s="81"/>
      <c r="K33" s="612" t="s">
        <v>292</v>
      </c>
      <c r="L33" s="612"/>
      <c r="M33" s="612"/>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43" t="s">
        <v>248</v>
      </c>
      <c r="C36" s="643"/>
      <c r="D36" s="643"/>
      <c r="E36" s="643"/>
      <c r="F36" s="91"/>
      <c r="G36" s="91"/>
      <c r="H36" s="91"/>
      <c r="I36" s="91"/>
      <c r="J36" s="644" t="s">
        <v>249</v>
      </c>
      <c r="K36" s="644"/>
      <c r="L36" s="644"/>
      <c r="M36" s="644"/>
      <c r="N36" s="644"/>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54" t="s">
        <v>26</v>
      </c>
      <c r="B1" s="654"/>
      <c r="C1" s="98"/>
      <c r="D1" s="661" t="s">
        <v>352</v>
      </c>
      <c r="E1" s="661"/>
      <c r="F1" s="661"/>
      <c r="G1" s="661"/>
      <c r="H1" s="661"/>
      <c r="I1" s="661"/>
      <c r="J1" s="661"/>
      <c r="K1" s="661"/>
      <c r="L1" s="661"/>
      <c r="M1" s="679" t="s">
        <v>293</v>
      </c>
      <c r="N1" s="680"/>
      <c r="O1" s="680"/>
      <c r="P1" s="680"/>
    </row>
    <row r="2" spans="1:16" s="42" customFormat="1" ht="34.5" customHeight="1">
      <c r="A2" s="660" t="s">
        <v>294</v>
      </c>
      <c r="B2" s="660"/>
      <c r="C2" s="660"/>
      <c r="D2" s="661"/>
      <c r="E2" s="661"/>
      <c r="F2" s="661"/>
      <c r="G2" s="661"/>
      <c r="H2" s="661"/>
      <c r="I2" s="661"/>
      <c r="J2" s="661"/>
      <c r="K2" s="661"/>
      <c r="L2" s="661"/>
      <c r="M2" s="681" t="s">
        <v>353</v>
      </c>
      <c r="N2" s="682"/>
      <c r="O2" s="682"/>
      <c r="P2" s="682"/>
    </row>
    <row r="3" spans="1:16" s="42" customFormat="1" ht="19.5" customHeight="1">
      <c r="A3" s="659" t="s">
        <v>295</v>
      </c>
      <c r="B3" s="659"/>
      <c r="C3" s="659"/>
      <c r="D3" s="661"/>
      <c r="E3" s="661"/>
      <c r="F3" s="661"/>
      <c r="G3" s="661"/>
      <c r="H3" s="661"/>
      <c r="I3" s="661"/>
      <c r="J3" s="661"/>
      <c r="K3" s="661"/>
      <c r="L3" s="661"/>
      <c r="M3" s="681" t="s">
        <v>296</v>
      </c>
      <c r="N3" s="682"/>
      <c r="O3" s="682"/>
      <c r="P3" s="682"/>
    </row>
    <row r="4" spans="1:16" s="103" customFormat="1" ht="18.75" customHeight="1">
      <c r="A4" s="99"/>
      <c r="B4" s="99"/>
      <c r="C4" s="100"/>
      <c r="D4" s="638"/>
      <c r="E4" s="638"/>
      <c r="F4" s="638"/>
      <c r="G4" s="638"/>
      <c r="H4" s="638"/>
      <c r="I4" s="638"/>
      <c r="J4" s="638"/>
      <c r="K4" s="638"/>
      <c r="L4" s="638"/>
      <c r="M4" s="101" t="s">
        <v>297</v>
      </c>
      <c r="N4" s="102"/>
      <c r="O4" s="102"/>
      <c r="P4" s="102"/>
    </row>
    <row r="5" spans="1:16" ht="49.5" customHeight="1">
      <c r="A5" s="668" t="s">
        <v>57</v>
      </c>
      <c r="B5" s="669"/>
      <c r="C5" s="656" t="s">
        <v>82</v>
      </c>
      <c r="D5" s="657"/>
      <c r="E5" s="657"/>
      <c r="F5" s="657"/>
      <c r="G5" s="657"/>
      <c r="H5" s="657"/>
      <c r="I5" s="657"/>
      <c r="J5" s="657"/>
      <c r="K5" s="655" t="s">
        <v>81</v>
      </c>
      <c r="L5" s="655"/>
      <c r="M5" s="655"/>
      <c r="N5" s="655"/>
      <c r="O5" s="655"/>
      <c r="P5" s="655"/>
    </row>
    <row r="6" spans="1:16" ht="20.25" customHeight="1">
      <c r="A6" s="670"/>
      <c r="B6" s="671"/>
      <c r="C6" s="656" t="s">
        <v>3</v>
      </c>
      <c r="D6" s="657"/>
      <c r="E6" s="657"/>
      <c r="F6" s="658"/>
      <c r="G6" s="655" t="s">
        <v>9</v>
      </c>
      <c r="H6" s="655"/>
      <c r="I6" s="655"/>
      <c r="J6" s="655"/>
      <c r="K6" s="683" t="s">
        <v>3</v>
      </c>
      <c r="L6" s="683"/>
      <c r="M6" s="683"/>
      <c r="N6" s="676" t="s">
        <v>9</v>
      </c>
      <c r="O6" s="676"/>
      <c r="P6" s="676"/>
    </row>
    <row r="7" spans="1:16" ht="52.5" customHeight="1">
      <c r="A7" s="670"/>
      <c r="B7" s="671"/>
      <c r="C7" s="674" t="s">
        <v>298</v>
      </c>
      <c r="D7" s="657" t="s">
        <v>78</v>
      </c>
      <c r="E7" s="657"/>
      <c r="F7" s="658"/>
      <c r="G7" s="655" t="s">
        <v>299</v>
      </c>
      <c r="H7" s="655" t="s">
        <v>78</v>
      </c>
      <c r="I7" s="655"/>
      <c r="J7" s="655"/>
      <c r="K7" s="655" t="s">
        <v>32</v>
      </c>
      <c r="L7" s="655" t="s">
        <v>79</v>
      </c>
      <c r="M7" s="655"/>
      <c r="N7" s="655" t="s">
        <v>64</v>
      </c>
      <c r="O7" s="655" t="s">
        <v>79</v>
      </c>
      <c r="P7" s="655"/>
    </row>
    <row r="8" spans="1:16" ht="15.75" customHeight="1">
      <c r="A8" s="670"/>
      <c r="B8" s="671"/>
      <c r="C8" s="674"/>
      <c r="D8" s="655" t="s">
        <v>36</v>
      </c>
      <c r="E8" s="655" t="s">
        <v>37</v>
      </c>
      <c r="F8" s="655" t="s">
        <v>40</v>
      </c>
      <c r="G8" s="655"/>
      <c r="H8" s="655" t="s">
        <v>36</v>
      </c>
      <c r="I8" s="655" t="s">
        <v>37</v>
      </c>
      <c r="J8" s="655" t="s">
        <v>40</v>
      </c>
      <c r="K8" s="655"/>
      <c r="L8" s="655" t="s">
        <v>14</v>
      </c>
      <c r="M8" s="655" t="s">
        <v>13</v>
      </c>
      <c r="N8" s="655"/>
      <c r="O8" s="655" t="s">
        <v>14</v>
      </c>
      <c r="P8" s="655" t="s">
        <v>13</v>
      </c>
    </row>
    <row r="9" spans="1:16" ht="44.25" customHeight="1">
      <c r="A9" s="672"/>
      <c r="B9" s="673"/>
      <c r="C9" s="675"/>
      <c r="D9" s="655"/>
      <c r="E9" s="655"/>
      <c r="F9" s="655"/>
      <c r="G9" s="655"/>
      <c r="H9" s="655"/>
      <c r="I9" s="655"/>
      <c r="J9" s="655"/>
      <c r="K9" s="655"/>
      <c r="L9" s="655"/>
      <c r="M9" s="655"/>
      <c r="N9" s="655"/>
      <c r="O9" s="655"/>
      <c r="P9" s="655"/>
    </row>
    <row r="10" spans="1:16" ht="15" customHeight="1">
      <c r="A10" s="666" t="s">
        <v>6</v>
      </c>
      <c r="B10" s="667"/>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77" t="s">
        <v>300</v>
      </c>
      <c r="B11" s="678"/>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62" t="s">
        <v>301</v>
      </c>
      <c r="B12" s="663"/>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64" t="s">
        <v>33</v>
      </c>
      <c r="B13" s="665"/>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269</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270</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302</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272</v>
      </c>
    </row>
    <row r="18" spans="1:16" s="42" customFormat="1" ht="15" customHeight="1">
      <c r="A18" s="116" t="s">
        <v>49</v>
      </c>
      <c r="B18" s="117" t="s">
        <v>273</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274</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275</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276</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277</v>
      </c>
      <c r="AK21" s="42" t="s">
        <v>278</v>
      </c>
      <c r="AL21" s="42" t="s">
        <v>279</v>
      </c>
      <c r="AM21" s="113" t="s">
        <v>280</v>
      </c>
    </row>
    <row r="22" spans="1:39" s="42" customFormat="1" ht="15" customHeight="1">
      <c r="A22" s="116" t="s">
        <v>61</v>
      </c>
      <c r="B22" s="117" t="s">
        <v>281</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282</v>
      </c>
    </row>
    <row r="23" spans="1:16" s="42" customFormat="1" ht="15" customHeight="1">
      <c r="A23" s="116" t="s">
        <v>62</v>
      </c>
      <c r="B23" s="117" t="s">
        <v>283</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284</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277</v>
      </c>
    </row>
    <row r="25" spans="1:36" s="42" customFormat="1" ht="15" customHeight="1">
      <c r="A25" s="116" t="s">
        <v>83</v>
      </c>
      <c r="B25" s="117" t="s">
        <v>285</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286</v>
      </c>
    </row>
    <row r="26" spans="1:44" s="42" customFormat="1" ht="15" customHeight="1">
      <c r="A26" s="116" t="s">
        <v>84</v>
      </c>
      <c r="B26" s="117" t="s">
        <v>287</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89" t="s">
        <v>354</v>
      </c>
      <c r="C28" s="690"/>
      <c r="D28" s="690"/>
      <c r="E28" s="690"/>
      <c r="F28" s="123"/>
      <c r="G28" s="123"/>
      <c r="H28" s="123"/>
      <c r="I28" s="123"/>
      <c r="J28" s="123"/>
      <c r="K28" s="684" t="s">
        <v>355</v>
      </c>
      <c r="L28" s="684"/>
      <c r="M28" s="684"/>
      <c r="N28" s="684"/>
      <c r="O28" s="684"/>
      <c r="P28" s="684"/>
      <c r="AG28" s="73" t="s">
        <v>289</v>
      </c>
      <c r="AI28" s="113">
        <f>82/88</f>
        <v>0.9318181818181818</v>
      </c>
    </row>
    <row r="29" spans="2:16" ht="16.5">
      <c r="B29" s="690"/>
      <c r="C29" s="690"/>
      <c r="D29" s="690"/>
      <c r="E29" s="690"/>
      <c r="F29" s="123"/>
      <c r="G29" s="123"/>
      <c r="H29" s="123"/>
      <c r="I29" s="123"/>
      <c r="J29" s="123"/>
      <c r="K29" s="684"/>
      <c r="L29" s="684"/>
      <c r="M29" s="684"/>
      <c r="N29" s="684"/>
      <c r="O29" s="684"/>
      <c r="P29" s="684"/>
    </row>
    <row r="30" spans="2:16" ht="21" customHeight="1">
      <c r="B30" s="690"/>
      <c r="C30" s="690"/>
      <c r="D30" s="690"/>
      <c r="E30" s="690"/>
      <c r="F30" s="123"/>
      <c r="G30" s="123"/>
      <c r="H30" s="123"/>
      <c r="I30" s="123"/>
      <c r="J30" s="123"/>
      <c r="K30" s="684"/>
      <c r="L30" s="684"/>
      <c r="M30" s="684"/>
      <c r="N30" s="684"/>
      <c r="O30" s="684"/>
      <c r="P30" s="684"/>
    </row>
    <row r="32" spans="2:16" ht="16.5" customHeight="1">
      <c r="B32" s="692" t="s">
        <v>292</v>
      </c>
      <c r="C32" s="692"/>
      <c r="D32" s="692"/>
      <c r="E32" s="124"/>
      <c r="F32" s="124"/>
      <c r="G32" s="124"/>
      <c r="H32" s="124"/>
      <c r="I32" s="124"/>
      <c r="J32" s="124"/>
      <c r="K32" s="691" t="s">
        <v>356</v>
      </c>
      <c r="L32" s="691"/>
      <c r="M32" s="691"/>
      <c r="N32" s="691"/>
      <c r="O32" s="691"/>
      <c r="P32" s="691"/>
    </row>
    <row r="33" ht="12.75" customHeight="1"/>
    <row r="34" spans="2:5" ht="15.75">
      <c r="B34" s="125"/>
      <c r="C34" s="125"/>
      <c r="D34" s="125"/>
      <c r="E34" s="125"/>
    </row>
    <row r="35" ht="15.75" hidden="1"/>
    <row r="36" spans="2:16" ht="15.75">
      <c r="B36" s="687" t="s">
        <v>248</v>
      </c>
      <c r="C36" s="687"/>
      <c r="D36" s="687"/>
      <c r="E36" s="687"/>
      <c r="F36" s="126"/>
      <c r="G36" s="126"/>
      <c r="H36" s="126"/>
      <c r="I36" s="126"/>
      <c r="K36" s="688" t="s">
        <v>249</v>
      </c>
      <c r="L36" s="688"/>
      <c r="M36" s="688"/>
      <c r="N36" s="688"/>
      <c r="O36" s="688"/>
      <c r="P36" s="688"/>
    </row>
    <row r="39" ht="15.75">
      <c r="A39" s="128" t="s">
        <v>41</v>
      </c>
    </row>
    <row r="40" spans="1:6" ht="15.75">
      <c r="A40" s="129"/>
      <c r="B40" s="130" t="s">
        <v>50</v>
      </c>
      <c r="C40" s="130"/>
      <c r="D40" s="130"/>
      <c r="E40" s="130"/>
      <c r="F40" s="130"/>
    </row>
    <row r="41" spans="1:14" ht="15.75" customHeight="1">
      <c r="A41" s="131" t="s">
        <v>25</v>
      </c>
      <c r="B41" s="686" t="s">
        <v>53</v>
      </c>
      <c r="C41" s="686"/>
      <c r="D41" s="686"/>
      <c r="E41" s="686"/>
      <c r="F41" s="686"/>
      <c r="G41" s="131"/>
      <c r="H41" s="131"/>
      <c r="I41" s="131"/>
      <c r="J41" s="131"/>
      <c r="K41" s="131"/>
      <c r="L41" s="131"/>
      <c r="M41" s="131"/>
      <c r="N41" s="131"/>
    </row>
    <row r="42" spans="1:14" ht="15" customHeight="1">
      <c r="A42" s="131"/>
      <c r="B42" s="685" t="s">
        <v>54</v>
      </c>
      <c r="C42" s="685"/>
      <c r="D42" s="685"/>
      <c r="E42" s="685"/>
      <c r="F42" s="685"/>
      <c r="G42" s="685"/>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42" t="s">
        <v>99</v>
      </c>
      <c r="B1" s="642"/>
      <c r="C1" s="642"/>
      <c r="D1" s="696" t="s">
        <v>357</v>
      </c>
      <c r="E1" s="696"/>
      <c r="F1" s="696"/>
      <c r="G1" s="696"/>
      <c r="H1" s="696"/>
      <c r="I1" s="696"/>
      <c r="J1" s="705" t="s">
        <v>358</v>
      </c>
      <c r="K1" s="706"/>
      <c r="L1" s="706"/>
    </row>
    <row r="2" spans="1:13" ht="15.75" customHeight="1">
      <c r="A2" s="707" t="s">
        <v>303</v>
      </c>
      <c r="B2" s="707"/>
      <c r="C2" s="707"/>
      <c r="D2" s="696"/>
      <c r="E2" s="696"/>
      <c r="F2" s="696"/>
      <c r="G2" s="696"/>
      <c r="H2" s="696"/>
      <c r="I2" s="696"/>
      <c r="J2" s="706" t="s">
        <v>304</v>
      </c>
      <c r="K2" s="706"/>
      <c r="L2" s="706"/>
      <c r="M2" s="133"/>
    </row>
    <row r="3" spans="1:13" ht="15.75" customHeight="1">
      <c r="A3" s="628" t="s">
        <v>255</v>
      </c>
      <c r="B3" s="628"/>
      <c r="C3" s="628"/>
      <c r="D3" s="696"/>
      <c r="E3" s="696"/>
      <c r="F3" s="696"/>
      <c r="G3" s="696"/>
      <c r="H3" s="696"/>
      <c r="I3" s="696"/>
      <c r="J3" s="705" t="s">
        <v>359</v>
      </c>
      <c r="K3" s="705"/>
      <c r="L3" s="705"/>
      <c r="M3" s="37"/>
    </row>
    <row r="4" spans="1:13" ht="15.75" customHeight="1">
      <c r="A4" s="703" t="s">
        <v>257</v>
      </c>
      <c r="B4" s="703"/>
      <c r="C4" s="703"/>
      <c r="D4" s="698"/>
      <c r="E4" s="698"/>
      <c r="F4" s="698"/>
      <c r="G4" s="698"/>
      <c r="H4" s="698"/>
      <c r="I4" s="698"/>
      <c r="J4" s="706" t="s">
        <v>305</v>
      </c>
      <c r="K4" s="706"/>
      <c r="L4" s="706"/>
      <c r="M4" s="133"/>
    </row>
    <row r="5" spans="1:13" ht="15.75">
      <c r="A5" s="134"/>
      <c r="B5" s="134"/>
      <c r="C5" s="34"/>
      <c r="D5" s="34"/>
      <c r="E5" s="34"/>
      <c r="F5" s="34"/>
      <c r="G5" s="34"/>
      <c r="H5" s="34"/>
      <c r="I5" s="34"/>
      <c r="J5" s="697" t="s">
        <v>8</v>
      </c>
      <c r="K5" s="697"/>
      <c r="L5" s="697"/>
      <c r="M5" s="133"/>
    </row>
    <row r="6" spans="1:14" ht="15.75">
      <c r="A6" s="710" t="s">
        <v>57</v>
      </c>
      <c r="B6" s="711"/>
      <c r="C6" s="655" t="s">
        <v>306</v>
      </c>
      <c r="D6" s="695" t="s">
        <v>307</v>
      </c>
      <c r="E6" s="695"/>
      <c r="F6" s="695"/>
      <c r="G6" s="695"/>
      <c r="H6" s="695"/>
      <c r="I6" s="695"/>
      <c r="J6" s="639" t="s">
        <v>97</v>
      </c>
      <c r="K6" s="639"/>
      <c r="L6" s="639"/>
      <c r="M6" s="693" t="s">
        <v>308</v>
      </c>
      <c r="N6" s="694" t="s">
        <v>309</v>
      </c>
    </row>
    <row r="7" spans="1:14" ht="15.75" customHeight="1">
      <c r="A7" s="712"/>
      <c r="B7" s="713"/>
      <c r="C7" s="655"/>
      <c r="D7" s="695" t="s">
        <v>7</v>
      </c>
      <c r="E7" s="695"/>
      <c r="F7" s="695"/>
      <c r="G7" s="695"/>
      <c r="H7" s="695"/>
      <c r="I7" s="695"/>
      <c r="J7" s="639"/>
      <c r="K7" s="639"/>
      <c r="L7" s="639"/>
      <c r="M7" s="693"/>
      <c r="N7" s="694"/>
    </row>
    <row r="8" spans="1:14" s="73" customFormat="1" ht="31.5" customHeight="1">
      <c r="A8" s="712"/>
      <c r="B8" s="713"/>
      <c r="C8" s="655"/>
      <c r="D8" s="639" t="s">
        <v>95</v>
      </c>
      <c r="E8" s="639" t="s">
        <v>96</v>
      </c>
      <c r="F8" s="639"/>
      <c r="G8" s="639"/>
      <c r="H8" s="639"/>
      <c r="I8" s="639"/>
      <c r="J8" s="639"/>
      <c r="K8" s="639"/>
      <c r="L8" s="639"/>
      <c r="M8" s="693"/>
      <c r="N8" s="694"/>
    </row>
    <row r="9" spans="1:14" s="73" customFormat="1" ht="15.75" customHeight="1">
      <c r="A9" s="712"/>
      <c r="B9" s="713"/>
      <c r="C9" s="655"/>
      <c r="D9" s="639"/>
      <c r="E9" s="639" t="s">
        <v>98</v>
      </c>
      <c r="F9" s="639" t="s">
        <v>7</v>
      </c>
      <c r="G9" s="639"/>
      <c r="H9" s="639"/>
      <c r="I9" s="639"/>
      <c r="J9" s="639" t="s">
        <v>7</v>
      </c>
      <c r="K9" s="639"/>
      <c r="L9" s="639"/>
      <c r="M9" s="693"/>
      <c r="N9" s="694"/>
    </row>
    <row r="10" spans="1:14" s="73" customFormat="1" ht="86.25" customHeight="1">
      <c r="A10" s="714"/>
      <c r="B10" s="715"/>
      <c r="C10" s="655"/>
      <c r="D10" s="639"/>
      <c r="E10" s="639"/>
      <c r="F10" s="104" t="s">
        <v>22</v>
      </c>
      <c r="G10" s="104" t="s">
        <v>24</v>
      </c>
      <c r="H10" s="104" t="s">
        <v>16</v>
      </c>
      <c r="I10" s="104" t="s">
        <v>23</v>
      </c>
      <c r="J10" s="104" t="s">
        <v>15</v>
      </c>
      <c r="K10" s="104" t="s">
        <v>20</v>
      </c>
      <c r="L10" s="104" t="s">
        <v>21</v>
      </c>
      <c r="M10" s="693"/>
      <c r="N10" s="694"/>
    </row>
    <row r="11" spans="1:32" ht="13.5" customHeight="1">
      <c r="A11" s="720" t="s">
        <v>5</v>
      </c>
      <c r="B11" s="721"/>
      <c r="C11" s="135">
        <v>1</v>
      </c>
      <c r="D11" s="135" t="s">
        <v>44</v>
      </c>
      <c r="E11" s="135" t="s">
        <v>49</v>
      </c>
      <c r="F11" s="135" t="s">
        <v>58</v>
      </c>
      <c r="G11" s="135" t="s">
        <v>59</v>
      </c>
      <c r="H11" s="135" t="s">
        <v>60</v>
      </c>
      <c r="I11" s="135" t="s">
        <v>61</v>
      </c>
      <c r="J11" s="135" t="s">
        <v>62</v>
      </c>
      <c r="K11" s="135" t="s">
        <v>63</v>
      </c>
      <c r="L11" s="135" t="s">
        <v>83</v>
      </c>
      <c r="M11" s="136"/>
      <c r="N11" s="137"/>
      <c r="AF11" s="33" t="s">
        <v>269</v>
      </c>
    </row>
    <row r="12" spans="1:14" ht="24" customHeight="1">
      <c r="A12" s="701" t="s">
        <v>300</v>
      </c>
      <c r="B12" s="702"/>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99" t="s">
        <v>256</v>
      </c>
      <c r="B13" s="700"/>
      <c r="C13" s="139">
        <v>59</v>
      </c>
      <c r="D13" s="139">
        <v>43</v>
      </c>
      <c r="E13" s="139">
        <v>0</v>
      </c>
      <c r="F13" s="139">
        <v>5</v>
      </c>
      <c r="G13" s="139">
        <v>2</v>
      </c>
      <c r="H13" s="139">
        <v>7</v>
      </c>
      <c r="I13" s="139">
        <v>2</v>
      </c>
      <c r="J13" s="139">
        <v>10</v>
      </c>
      <c r="K13" s="139">
        <v>44</v>
      </c>
      <c r="L13" s="139">
        <v>5</v>
      </c>
      <c r="M13" s="136"/>
      <c r="N13" s="137"/>
    </row>
    <row r="14" spans="1:37" s="52" customFormat="1" ht="16.5" customHeight="1">
      <c r="A14" s="718" t="s">
        <v>30</v>
      </c>
      <c r="B14" s="719"/>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270</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272</v>
      </c>
    </row>
    <row r="18" spans="1:14" s="148" customFormat="1" ht="16.5" customHeight="1">
      <c r="A18" s="147" t="s">
        <v>44</v>
      </c>
      <c r="B18" s="68" t="s">
        <v>302</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273</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274</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275</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277</v>
      </c>
      <c r="AK21" s="148" t="s">
        <v>278</v>
      </c>
      <c r="AL21" s="148" t="s">
        <v>279</v>
      </c>
      <c r="AM21" s="63" t="s">
        <v>280</v>
      </c>
    </row>
    <row r="22" spans="1:39" s="148" customFormat="1" ht="16.5" customHeight="1">
      <c r="A22" s="147" t="s">
        <v>60</v>
      </c>
      <c r="B22" s="68" t="s">
        <v>276</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282</v>
      </c>
    </row>
    <row r="23" spans="1:14" s="148" customFormat="1" ht="16.5" customHeight="1">
      <c r="A23" s="147" t="s">
        <v>61</v>
      </c>
      <c r="B23" s="68" t="s">
        <v>281</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283</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277</v>
      </c>
    </row>
    <row r="25" spans="1:36" s="148" customFormat="1" ht="16.5" customHeight="1">
      <c r="A25" s="147" t="s">
        <v>63</v>
      </c>
      <c r="B25" s="68" t="s">
        <v>284</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286</v>
      </c>
    </row>
    <row r="26" spans="1:44" s="70" customFormat="1" ht="16.5" customHeight="1">
      <c r="A26" s="151" t="s">
        <v>83</v>
      </c>
      <c r="B26" s="68" t="s">
        <v>285</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287</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289</v>
      </c>
      <c r="AI28" s="157">
        <f>82/88</f>
        <v>0.9318181818181818</v>
      </c>
    </row>
    <row r="29" spans="1:13" ht="16.5" customHeight="1">
      <c r="A29" s="633" t="s">
        <v>360</v>
      </c>
      <c r="B29" s="722"/>
      <c r="C29" s="722"/>
      <c r="D29" s="722"/>
      <c r="E29" s="158"/>
      <c r="F29" s="158"/>
      <c r="G29" s="158"/>
      <c r="H29" s="708" t="s">
        <v>310</v>
      </c>
      <c r="I29" s="708"/>
      <c r="J29" s="708"/>
      <c r="K29" s="708"/>
      <c r="L29" s="708"/>
      <c r="M29" s="159"/>
    </row>
    <row r="30" spans="1:12" ht="18.75">
      <c r="A30" s="722"/>
      <c r="B30" s="722"/>
      <c r="C30" s="722"/>
      <c r="D30" s="722"/>
      <c r="E30" s="158"/>
      <c r="F30" s="158"/>
      <c r="G30" s="158"/>
      <c r="H30" s="709" t="s">
        <v>311</v>
      </c>
      <c r="I30" s="709"/>
      <c r="J30" s="709"/>
      <c r="K30" s="709"/>
      <c r="L30" s="709"/>
    </row>
    <row r="31" spans="1:12" s="32" customFormat="1" ht="16.5" customHeight="1">
      <c r="A31" s="630"/>
      <c r="B31" s="630"/>
      <c r="C31" s="630"/>
      <c r="D31" s="630"/>
      <c r="E31" s="160"/>
      <c r="F31" s="160"/>
      <c r="G31" s="160"/>
      <c r="H31" s="631"/>
      <c r="I31" s="631"/>
      <c r="J31" s="631"/>
      <c r="K31" s="631"/>
      <c r="L31" s="631"/>
    </row>
    <row r="32" spans="1:12" ht="18.75">
      <c r="A32" s="89"/>
      <c r="B32" s="630" t="s">
        <v>292</v>
      </c>
      <c r="C32" s="630"/>
      <c r="D32" s="630"/>
      <c r="E32" s="160"/>
      <c r="F32" s="160"/>
      <c r="G32" s="160"/>
      <c r="H32" s="160"/>
      <c r="I32" s="704" t="s">
        <v>292</v>
      </c>
      <c r="J32" s="704"/>
      <c r="K32" s="704"/>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43" t="s">
        <v>248</v>
      </c>
      <c r="B37" s="643"/>
      <c r="C37" s="643"/>
      <c r="D37" s="643"/>
      <c r="E37" s="91"/>
      <c r="F37" s="91"/>
      <c r="G37" s="91"/>
      <c r="H37" s="644" t="s">
        <v>248</v>
      </c>
      <c r="I37" s="644"/>
      <c r="J37" s="644"/>
      <c r="K37" s="644"/>
      <c r="L37" s="644"/>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17" t="s">
        <v>50</v>
      </c>
      <c r="C40" s="717"/>
      <c r="D40" s="717"/>
      <c r="E40" s="717"/>
      <c r="F40" s="717"/>
      <c r="G40" s="717"/>
      <c r="H40" s="717"/>
      <c r="I40" s="717"/>
      <c r="J40" s="717"/>
      <c r="K40" s="717"/>
      <c r="L40" s="717"/>
    </row>
    <row r="41" spans="1:12" ht="16.5" customHeight="1">
      <c r="A41" s="165"/>
      <c r="B41" s="716" t="s">
        <v>52</v>
      </c>
      <c r="C41" s="716"/>
      <c r="D41" s="716"/>
      <c r="E41" s="716"/>
      <c r="F41" s="716"/>
      <c r="G41" s="716"/>
      <c r="H41" s="716"/>
      <c r="I41" s="716"/>
      <c r="J41" s="716"/>
      <c r="K41" s="716"/>
      <c r="L41" s="716"/>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39" t="s">
        <v>137</v>
      </c>
      <c r="B1" s="739"/>
      <c r="C1" s="739"/>
      <c r="D1" s="734" t="s">
        <v>314</v>
      </c>
      <c r="E1" s="735"/>
      <c r="F1" s="735"/>
      <c r="G1" s="735"/>
      <c r="H1" s="735"/>
      <c r="I1" s="735"/>
      <c r="J1" s="735"/>
      <c r="K1" s="735"/>
      <c r="L1" s="735"/>
      <c r="M1" s="735"/>
      <c r="N1" s="735"/>
      <c r="O1" s="212"/>
      <c r="P1" s="169" t="s">
        <v>364</v>
      </c>
      <c r="Q1" s="168"/>
      <c r="R1" s="168"/>
      <c r="S1" s="168"/>
      <c r="T1" s="168"/>
      <c r="U1" s="212"/>
    </row>
    <row r="2" spans="1:21" ht="16.5" customHeight="1">
      <c r="A2" s="736" t="s">
        <v>315</v>
      </c>
      <c r="B2" s="736"/>
      <c r="C2" s="736"/>
      <c r="D2" s="735"/>
      <c r="E2" s="735"/>
      <c r="F2" s="735"/>
      <c r="G2" s="735"/>
      <c r="H2" s="735"/>
      <c r="I2" s="735"/>
      <c r="J2" s="735"/>
      <c r="K2" s="735"/>
      <c r="L2" s="735"/>
      <c r="M2" s="735"/>
      <c r="N2" s="735"/>
      <c r="O2" s="213"/>
      <c r="P2" s="727" t="s">
        <v>316</v>
      </c>
      <c r="Q2" s="727"/>
      <c r="R2" s="727"/>
      <c r="S2" s="727"/>
      <c r="T2" s="727"/>
      <c r="U2" s="213"/>
    </row>
    <row r="3" spans="1:21" ht="16.5" customHeight="1">
      <c r="A3" s="755" t="s">
        <v>317</v>
      </c>
      <c r="B3" s="755"/>
      <c r="C3" s="755"/>
      <c r="D3" s="740" t="s">
        <v>318</v>
      </c>
      <c r="E3" s="740"/>
      <c r="F3" s="740"/>
      <c r="G3" s="740"/>
      <c r="H3" s="740"/>
      <c r="I3" s="740"/>
      <c r="J3" s="740"/>
      <c r="K3" s="740"/>
      <c r="L3" s="740"/>
      <c r="M3" s="740"/>
      <c r="N3" s="740"/>
      <c r="O3" s="213"/>
      <c r="P3" s="173" t="s">
        <v>363</v>
      </c>
      <c r="Q3" s="213"/>
      <c r="R3" s="213"/>
      <c r="S3" s="213"/>
      <c r="T3" s="213"/>
      <c r="U3" s="213"/>
    </row>
    <row r="4" spans="1:21" ht="16.5" customHeight="1">
      <c r="A4" s="741" t="s">
        <v>257</v>
      </c>
      <c r="B4" s="741"/>
      <c r="C4" s="741"/>
      <c r="D4" s="762"/>
      <c r="E4" s="762"/>
      <c r="F4" s="762"/>
      <c r="G4" s="762"/>
      <c r="H4" s="762"/>
      <c r="I4" s="762"/>
      <c r="J4" s="762"/>
      <c r="K4" s="762"/>
      <c r="L4" s="762"/>
      <c r="M4" s="762"/>
      <c r="N4" s="762"/>
      <c r="O4" s="213"/>
      <c r="P4" s="172" t="s">
        <v>296</v>
      </c>
      <c r="Q4" s="213"/>
      <c r="R4" s="213"/>
      <c r="S4" s="213"/>
      <c r="T4" s="213"/>
      <c r="U4" s="213"/>
    </row>
    <row r="5" spans="12:21" ht="16.5" customHeight="1">
      <c r="L5" s="214"/>
      <c r="M5" s="214"/>
      <c r="N5" s="214"/>
      <c r="O5" s="176"/>
      <c r="P5" s="175" t="s">
        <v>319</v>
      </c>
      <c r="Q5" s="176"/>
      <c r="R5" s="176"/>
      <c r="S5" s="176"/>
      <c r="T5" s="176"/>
      <c r="U5" s="172"/>
    </row>
    <row r="6" spans="1:21" s="217" customFormat="1" ht="15.75" customHeight="1">
      <c r="A6" s="728" t="s">
        <v>57</v>
      </c>
      <c r="B6" s="729"/>
      <c r="C6" s="723" t="s">
        <v>138</v>
      </c>
      <c r="D6" s="737" t="s">
        <v>139</v>
      </c>
      <c r="E6" s="738"/>
      <c r="F6" s="738"/>
      <c r="G6" s="738"/>
      <c r="H6" s="738"/>
      <c r="I6" s="738"/>
      <c r="J6" s="738"/>
      <c r="K6" s="738"/>
      <c r="L6" s="738"/>
      <c r="M6" s="738"/>
      <c r="N6" s="738"/>
      <c r="O6" s="738"/>
      <c r="P6" s="738"/>
      <c r="Q6" s="738"/>
      <c r="R6" s="738"/>
      <c r="S6" s="738"/>
      <c r="T6" s="723" t="s">
        <v>140</v>
      </c>
      <c r="U6" s="216"/>
    </row>
    <row r="7" spans="1:20" s="218" customFormat="1" ht="12.75" customHeight="1">
      <c r="A7" s="730"/>
      <c r="B7" s="731"/>
      <c r="C7" s="723"/>
      <c r="D7" s="759" t="s">
        <v>135</v>
      </c>
      <c r="E7" s="738" t="s">
        <v>7</v>
      </c>
      <c r="F7" s="738"/>
      <c r="G7" s="738"/>
      <c r="H7" s="738"/>
      <c r="I7" s="738"/>
      <c r="J7" s="738"/>
      <c r="K7" s="738"/>
      <c r="L7" s="738"/>
      <c r="M7" s="738"/>
      <c r="N7" s="738"/>
      <c r="O7" s="738"/>
      <c r="P7" s="738"/>
      <c r="Q7" s="738"/>
      <c r="R7" s="738"/>
      <c r="S7" s="738"/>
      <c r="T7" s="723"/>
    </row>
    <row r="8" spans="1:21" s="218" customFormat="1" ht="43.5" customHeight="1">
      <c r="A8" s="730"/>
      <c r="B8" s="731"/>
      <c r="C8" s="723"/>
      <c r="D8" s="760"/>
      <c r="E8" s="726" t="s">
        <v>141</v>
      </c>
      <c r="F8" s="723"/>
      <c r="G8" s="723"/>
      <c r="H8" s="723" t="s">
        <v>142</v>
      </c>
      <c r="I8" s="723"/>
      <c r="J8" s="723"/>
      <c r="K8" s="723" t="s">
        <v>143</v>
      </c>
      <c r="L8" s="723"/>
      <c r="M8" s="723" t="s">
        <v>144</v>
      </c>
      <c r="N8" s="723"/>
      <c r="O8" s="723"/>
      <c r="P8" s="723" t="s">
        <v>145</v>
      </c>
      <c r="Q8" s="723" t="s">
        <v>146</v>
      </c>
      <c r="R8" s="723" t="s">
        <v>147</v>
      </c>
      <c r="S8" s="742" t="s">
        <v>148</v>
      </c>
      <c r="T8" s="723"/>
      <c r="U8" s="752" t="s">
        <v>320</v>
      </c>
    </row>
    <row r="9" spans="1:21" s="218" customFormat="1" ht="44.25" customHeight="1">
      <c r="A9" s="732"/>
      <c r="B9" s="733"/>
      <c r="C9" s="723"/>
      <c r="D9" s="761"/>
      <c r="E9" s="219" t="s">
        <v>149</v>
      </c>
      <c r="F9" s="215" t="s">
        <v>150</v>
      </c>
      <c r="G9" s="215" t="s">
        <v>321</v>
      </c>
      <c r="H9" s="215" t="s">
        <v>151</v>
      </c>
      <c r="I9" s="215" t="s">
        <v>152</v>
      </c>
      <c r="J9" s="215" t="s">
        <v>153</v>
      </c>
      <c r="K9" s="215" t="s">
        <v>150</v>
      </c>
      <c r="L9" s="215" t="s">
        <v>154</v>
      </c>
      <c r="M9" s="215" t="s">
        <v>155</v>
      </c>
      <c r="N9" s="215" t="s">
        <v>156</v>
      </c>
      <c r="O9" s="215" t="s">
        <v>322</v>
      </c>
      <c r="P9" s="723"/>
      <c r="Q9" s="723"/>
      <c r="R9" s="723"/>
      <c r="S9" s="742"/>
      <c r="T9" s="723"/>
      <c r="U9" s="753"/>
    </row>
    <row r="10" spans="1:21" s="222" customFormat="1" ht="15.75" customHeight="1">
      <c r="A10" s="756" t="s">
        <v>6</v>
      </c>
      <c r="B10" s="757"/>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53"/>
    </row>
    <row r="11" spans="1:21" s="222" customFormat="1" ht="15.75" customHeight="1">
      <c r="A11" s="724" t="s">
        <v>300</v>
      </c>
      <c r="B11" s="725"/>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54"/>
    </row>
    <row r="12" spans="1:21" s="222" customFormat="1" ht="15.75" customHeight="1">
      <c r="A12" s="743" t="s">
        <v>301</v>
      </c>
      <c r="B12" s="744"/>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49" t="s">
        <v>30</v>
      </c>
      <c r="B13" s="750"/>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270</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302</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273</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274</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275</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276</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281</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283</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284</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285</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287</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58" t="s">
        <v>288</v>
      </c>
      <c r="C28" s="758"/>
      <c r="D28" s="758"/>
      <c r="E28" s="758"/>
      <c r="F28" s="181"/>
      <c r="G28" s="181"/>
      <c r="H28" s="181"/>
      <c r="I28" s="181"/>
      <c r="J28" s="181"/>
      <c r="K28" s="181" t="s">
        <v>157</v>
      </c>
      <c r="L28" s="182"/>
      <c r="M28" s="763" t="s">
        <v>323</v>
      </c>
      <c r="N28" s="763"/>
      <c r="O28" s="763"/>
      <c r="P28" s="763"/>
      <c r="Q28" s="763"/>
      <c r="R28" s="763"/>
      <c r="S28" s="763"/>
      <c r="T28" s="763"/>
    </row>
    <row r="29" spans="1:20" s="233" customFormat="1" ht="18.75" customHeight="1">
      <c r="A29" s="232"/>
      <c r="B29" s="748" t="s">
        <v>158</v>
      </c>
      <c r="C29" s="748"/>
      <c r="D29" s="748"/>
      <c r="E29" s="234"/>
      <c r="F29" s="183"/>
      <c r="G29" s="183"/>
      <c r="H29" s="183"/>
      <c r="I29" s="183"/>
      <c r="J29" s="183"/>
      <c r="K29" s="183"/>
      <c r="L29" s="182"/>
      <c r="M29" s="751" t="s">
        <v>312</v>
      </c>
      <c r="N29" s="751"/>
      <c r="O29" s="751"/>
      <c r="P29" s="751"/>
      <c r="Q29" s="751"/>
      <c r="R29" s="751"/>
      <c r="S29" s="751"/>
      <c r="T29" s="751"/>
    </row>
    <row r="30" spans="1:20" s="233" customFormat="1" ht="18.75">
      <c r="A30" s="184"/>
      <c r="B30" s="745"/>
      <c r="C30" s="745"/>
      <c r="D30" s="745"/>
      <c r="E30" s="186"/>
      <c r="F30" s="186"/>
      <c r="G30" s="186"/>
      <c r="H30" s="186"/>
      <c r="I30" s="186"/>
      <c r="J30" s="186"/>
      <c r="K30" s="186"/>
      <c r="L30" s="186"/>
      <c r="M30" s="746"/>
      <c r="N30" s="746"/>
      <c r="O30" s="746"/>
      <c r="P30" s="746"/>
      <c r="Q30" s="746"/>
      <c r="R30" s="746"/>
      <c r="S30" s="746"/>
      <c r="T30" s="746"/>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160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161</v>
      </c>
      <c r="C34" s="186"/>
      <c r="D34" s="186"/>
      <c r="E34" s="186"/>
      <c r="F34" s="186"/>
      <c r="G34" s="186"/>
      <c r="H34" s="186"/>
      <c r="I34" s="186"/>
      <c r="J34" s="186"/>
      <c r="K34" s="186"/>
      <c r="L34" s="186"/>
      <c r="M34" s="186"/>
      <c r="N34" s="186"/>
      <c r="O34" s="186"/>
      <c r="P34" s="186"/>
      <c r="Q34" s="186"/>
      <c r="R34" s="186"/>
      <c r="S34" s="186"/>
      <c r="T34" s="186"/>
    </row>
    <row r="35" spans="2:20" ht="18.75" hidden="1">
      <c r="B35" s="236" t="s">
        <v>162</v>
      </c>
      <c r="C35" s="186"/>
      <c r="D35" s="186"/>
      <c r="E35" s="186"/>
      <c r="F35" s="186"/>
      <c r="G35" s="186"/>
      <c r="H35" s="186"/>
      <c r="I35" s="186"/>
      <c r="J35" s="186"/>
      <c r="K35" s="186"/>
      <c r="L35" s="186"/>
      <c r="M35" s="186"/>
      <c r="N35" s="186"/>
      <c r="O35" s="186"/>
      <c r="P35" s="186"/>
      <c r="Q35" s="186"/>
      <c r="R35" s="186"/>
      <c r="S35" s="186"/>
      <c r="T35" s="186"/>
    </row>
    <row r="36" spans="2:20" s="211" customFormat="1" ht="18.75">
      <c r="B36" s="747" t="s">
        <v>292</v>
      </c>
      <c r="C36" s="747"/>
      <c r="D36" s="747"/>
      <c r="E36" s="236"/>
      <c r="F36" s="236"/>
      <c r="G36" s="236"/>
      <c r="H36" s="236"/>
      <c r="I36" s="236"/>
      <c r="J36" s="236"/>
      <c r="K36" s="236"/>
      <c r="L36" s="236"/>
      <c r="M36" s="236"/>
      <c r="N36" s="747" t="s">
        <v>292</v>
      </c>
      <c r="O36" s="747"/>
      <c r="P36" s="747"/>
      <c r="Q36" s="747"/>
      <c r="R36" s="747"/>
      <c r="S36" s="747"/>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43" t="s">
        <v>248</v>
      </c>
      <c r="C38" s="643"/>
      <c r="D38" s="643"/>
      <c r="E38" s="210"/>
      <c r="F38" s="210"/>
      <c r="G38" s="210"/>
      <c r="H38" s="210"/>
      <c r="I38" s="182"/>
      <c r="J38" s="182"/>
      <c r="K38" s="182"/>
      <c r="L38" s="182"/>
      <c r="M38" s="644" t="s">
        <v>249</v>
      </c>
      <c r="N38" s="644"/>
      <c r="O38" s="644"/>
      <c r="P38" s="644"/>
      <c r="Q38" s="644"/>
      <c r="R38" s="644"/>
      <c r="S38" s="644"/>
      <c r="T38" s="644"/>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81" t="s">
        <v>163</v>
      </c>
      <c r="B1" s="781"/>
      <c r="C1" s="781"/>
      <c r="D1" s="238"/>
      <c r="E1" s="770" t="s">
        <v>164</v>
      </c>
      <c r="F1" s="770"/>
      <c r="G1" s="770"/>
      <c r="H1" s="770"/>
      <c r="I1" s="770"/>
      <c r="J1" s="770"/>
      <c r="K1" s="770"/>
      <c r="L1" s="770"/>
      <c r="M1" s="770"/>
      <c r="N1" s="770"/>
      <c r="O1" s="191"/>
      <c r="P1" s="786" t="s">
        <v>362</v>
      </c>
      <c r="Q1" s="786"/>
      <c r="R1" s="786"/>
      <c r="S1" s="786"/>
      <c r="T1" s="786"/>
    </row>
    <row r="2" spans="1:20" ht="15.75" customHeight="1">
      <c r="A2" s="782" t="s">
        <v>324</v>
      </c>
      <c r="B2" s="782"/>
      <c r="C2" s="782"/>
      <c r="D2" s="782"/>
      <c r="E2" s="784" t="s">
        <v>165</v>
      </c>
      <c r="F2" s="784"/>
      <c r="G2" s="784"/>
      <c r="H2" s="784"/>
      <c r="I2" s="784"/>
      <c r="J2" s="784"/>
      <c r="K2" s="784"/>
      <c r="L2" s="784"/>
      <c r="M2" s="784"/>
      <c r="N2" s="784"/>
      <c r="O2" s="194"/>
      <c r="P2" s="768" t="s">
        <v>304</v>
      </c>
      <c r="Q2" s="768"/>
      <c r="R2" s="768"/>
      <c r="S2" s="768"/>
      <c r="T2" s="768"/>
    </row>
    <row r="3" spans="1:20" ht="17.25">
      <c r="A3" s="782" t="s">
        <v>255</v>
      </c>
      <c r="B3" s="782"/>
      <c r="C3" s="782"/>
      <c r="D3" s="239"/>
      <c r="E3" s="771" t="s">
        <v>256</v>
      </c>
      <c r="F3" s="771"/>
      <c r="G3" s="771"/>
      <c r="H3" s="771"/>
      <c r="I3" s="771"/>
      <c r="J3" s="771"/>
      <c r="K3" s="771"/>
      <c r="L3" s="771"/>
      <c r="M3" s="771"/>
      <c r="N3" s="771"/>
      <c r="O3" s="194"/>
      <c r="P3" s="769" t="s">
        <v>363</v>
      </c>
      <c r="Q3" s="769"/>
      <c r="R3" s="769"/>
      <c r="S3" s="769"/>
      <c r="T3" s="769"/>
    </row>
    <row r="4" spans="1:20" ht="18.75" customHeight="1">
      <c r="A4" s="783" t="s">
        <v>257</v>
      </c>
      <c r="B4" s="783"/>
      <c r="C4" s="783"/>
      <c r="D4" s="785"/>
      <c r="E4" s="785"/>
      <c r="F4" s="785"/>
      <c r="G4" s="785"/>
      <c r="H4" s="785"/>
      <c r="I4" s="785"/>
      <c r="J4" s="785"/>
      <c r="K4" s="785"/>
      <c r="L4" s="785"/>
      <c r="M4" s="785"/>
      <c r="N4" s="785"/>
      <c r="O4" s="195"/>
      <c r="P4" s="768" t="s">
        <v>296</v>
      </c>
      <c r="Q4" s="769"/>
      <c r="R4" s="769"/>
      <c r="S4" s="769"/>
      <c r="T4" s="769"/>
    </row>
    <row r="5" spans="1:23" ht="15">
      <c r="A5" s="208"/>
      <c r="B5" s="208"/>
      <c r="C5" s="240"/>
      <c r="D5" s="240"/>
      <c r="E5" s="208"/>
      <c r="F5" s="208"/>
      <c r="G5" s="208"/>
      <c r="H5" s="208"/>
      <c r="I5" s="208"/>
      <c r="J5" s="208"/>
      <c r="K5" s="208"/>
      <c r="L5" s="208"/>
      <c r="P5" s="787" t="s">
        <v>319</v>
      </c>
      <c r="Q5" s="787"/>
      <c r="R5" s="787"/>
      <c r="S5" s="787"/>
      <c r="T5" s="787"/>
      <c r="U5" s="241"/>
      <c r="V5" s="241"/>
      <c r="W5" s="241"/>
    </row>
    <row r="6" spans="1:23" ht="29.25" customHeight="1">
      <c r="A6" s="728" t="s">
        <v>57</v>
      </c>
      <c r="B6" s="804"/>
      <c r="C6" s="799" t="s">
        <v>2</v>
      </c>
      <c r="D6" s="788" t="s">
        <v>166</v>
      </c>
      <c r="E6" s="779"/>
      <c r="F6" s="779"/>
      <c r="G6" s="779"/>
      <c r="H6" s="779"/>
      <c r="I6" s="779"/>
      <c r="J6" s="780"/>
      <c r="K6" s="772" t="s">
        <v>167</v>
      </c>
      <c r="L6" s="773"/>
      <c r="M6" s="773"/>
      <c r="N6" s="773"/>
      <c r="O6" s="773"/>
      <c r="P6" s="773"/>
      <c r="Q6" s="773"/>
      <c r="R6" s="773"/>
      <c r="S6" s="773"/>
      <c r="T6" s="774"/>
      <c r="U6" s="242"/>
      <c r="V6" s="243"/>
      <c r="W6" s="243"/>
    </row>
    <row r="7" spans="1:20" ht="19.5" customHeight="1">
      <c r="A7" s="730"/>
      <c r="B7" s="805"/>
      <c r="C7" s="800"/>
      <c r="D7" s="779" t="s">
        <v>7</v>
      </c>
      <c r="E7" s="779"/>
      <c r="F7" s="779"/>
      <c r="G7" s="779"/>
      <c r="H7" s="779"/>
      <c r="I7" s="779"/>
      <c r="J7" s="780"/>
      <c r="K7" s="775"/>
      <c r="L7" s="776"/>
      <c r="M7" s="776"/>
      <c r="N7" s="776"/>
      <c r="O7" s="776"/>
      <c r="P7" s="776"/>
      <c r="Q7" s="776"/>
      <c r="R7" s="776"/>
      <c r="S7" s="776"/>
      <c r="T7" s="777"/>
    </row>
    <row r="8" spans="1:20" ht="33" customHeight="1">
      <c r="A8" s="730"/>
      <c r="B8" s="805"/>
      <c r="C8" s="800"/>
      <c r="D8" s="778" t="s">
        <v>168</v>
      </c>
      <c r="E8" s="765"/>
      <c r="F8" s="764" t="s">
        <v>169</v>
      </c>
      <c r="G8" s="765"/>
      <c r="H8" s="764" t="s">
        <v>170</v>
      </c>
      <c r="I8" s="765"/>
      <c r="J8" s="764" t="s">
        <v>171</v>
      </c>
      <c r="K8" s="767" t="s">
        <v>172</v>
      </c>
      <c r="L8" s="767"/>
      <c r="M8" s="767"/>
      <c r="N8" s="767" t="s">
        <v>173</v>
      </c>
      <c r="O8" s="767"/>
      <c r="P8" s="767"/>
      <c r="Q8" s="764" t="s">
        <v>174</v>
      </c>
      <c r="R8" s="766" t="s">
        <v>175</v>
      </c>
      <c r="S8" s="766" t="s">
        <v>176</v>
      </c>
      <c r="T8" s="764" t="s">
        <v>177</v>
      </c>
    </row>
    <row r="9" spans="1:20" ht="18.75" customHeight="1">
      <c r="A9" s="730"/>
      <c r="B9" s="805"/>
      <c r="C9" s="800"/>
      <c r="D9" s="778" t="s">
        <v>178</v>
      </c>
      <c r="E9" s="764" t="s">
        <v>179</v>
      </c>
      <c r="F9" s="764" t="s">
        <v>178</v>
      </c>
      <c r="G9" s="764" t="s">
        <v>179</v>
      </c>
      <c r="H9" s="764" t="s">
        <v>178</v>
      </c>
      <c r="I9" s="764" t="s">
        <v>180</v>
      </c>
      <c r="J9" s="764"/>
      <c r="K9" s="767"/>
      <c r="L9" s="767"/>
      <c r="M9" s="767"/>
      <c r="N9" s="767"/>
      <c r="O9" s="767"/>
      <c r="P9" s="767"/>
      <c r="Q9" s="764"/>
      <c r="R9" s="766"/>
      <c r="S9" s="766"/>
      <c r="T9" s="764"/>
    </row>
    <row r="10" spans="1:20" ht="23.25" customHeight="1">
      <c r="A10" s="732"/>
      <c r="B10" s="806"/>
      <c r="C10" s="801"/>
      <c r="D10" s="778"/>
      <c r="E10" s="764"/>
      <c r="F10" s="764"/>
      <c r="G10" s="764"/>
      <c r="H10" s="764"/>
      <c r="I10" s="764"/>
      <c r="J10" s="764"/>
      <c r="K10" s="244" t="s">
        <v>181</v>
      </c>
      <c r="L10" s="244" t="s">
        <v>156</v>
      </c>
      <c r="M10" s="244" t="s">
        <v>182</v>
      </c>
      <c r="N10" s="244" t="s">
        <v>181</v>
      </c>
      <c r="O10" s="244" t="s">
        <v>183</v>
      </c>
      <c r="P10" s="244" t="s">
        <v>184</v>
      </c>
      <c r="Q10" s="764"/>
      <c r="R10" s="766"/>
      <c r="S10" s="766"/>
      <c r="T10" s="764"/>
    </row>
    <row r="11" spans="1:32" s="201" customFormat="1" ht="17.25" customHeight="1">
      <c r="A11" s="802" t="s">
        <v>6</v>
      </c>
      <c r="B11" s="803"/>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92" t="s">
        <v>325</v>
      </c>
      <c r="B12" s="793"/>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95" t="s">
        <v>301</v>
      </c>
      <c r="B13" s="796"/>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98" t="s">
        <v>185</v>
      </c>
      <c r="B14" s="778"/>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270</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302</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273</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274</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275</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276</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281</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283</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284</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285</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287</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289</v>
      </c>
      <c r="AI28" s="190">
        <f>82/88</f>
        <v>0.9318181818181818</v>
      </c>
    </row>
    <row r="29" spans="1:20" ht="15.75" customHeight="1">
      <c r="A29" s="202"/>
      <c r="B29" s="790" t="s">
        <v>313</v>
      </c>
      <c r="C29" s="790"/>
      <c r="D29" s="790"/>
      <c r="E29" s="790"/>
      <c r="F29" s="258"/>
      <c r="G29" s="258"/>
      <c r="H29" s="258"/>
      <c r="I29" s="258"/>
      <c r="J29" s="258"/>
      <c r="K29" s="258"/>
      <c r="L29" s="206"/>
      <c r="M29" s="789" t="s">
        <v>326</v>
      </c>
      <c r="N29" s="789"/>
      <c r="O29" s="789"/>
      <c r="P29" s="789"/>
      <c r="Q29" s="789"/>
      <c r="R29" s="789"/>
      <c r="S29" s="789"/>
      <c r="T29" s="789"/>
    </row>
    <row r="30" spans="1:20" ht="18.75" customHeight="1">
      <c r="A30" s="202"/>
      <c r="B30" s="791" t="s">
        <v>158</v>
      </c>
      <c r="C30" s="791"/>
      <c r="D30" s="791"/>
      <c r="E30" s="791"/>
      <c r="F30" s="205"/>
      <c r="G30" s="205"/>
      <c r="H30" s="205"/>
      <c r="I30" s="205"/>
      <c r="J30" s="205"/>
      <c r="K30" s="205"/>
      <c r="L30" s="206"/>
      <c r="M30" s="794" t="s">
        <v>159</v>
      </c>
      <c r="N30" s="794"/>
      <c r="O30" s="794"/>
      <c r="P30" s="794"/>
      <c r="Q30" s="794"/>
      <c r="R30" s="794"/>
      <c r="S30" s="794"/>
      <c r="T30" s="794"/>
    </row>
    <row r="31" spans="1:20" ht="18.75">
      <c r="A31" s="208"/>
      <c r="B31" s="745"/>
      <c r="C31" s="745"/>
      <c r="D31" s="745"/>
      <c r="E31" s="745"/>
      <c r="F31" s="209"/>
      <c r="G31" s="209"/>
      <c r="H31" s="209"/>
      <c r="I31" s="209"/>
      <c r="J31" s="209"/>
      <c r="K31" s="209"/>
      <c r="L31" s="209"/>
      <c r="M31" s="746"/>
      <c r="N31" s="746"/>
      <c r="O31" s="746"/>
      <c r="P31" s="746"/>
      <c r="Q31" s="746"/>
      <c r="R31" s="746"/>
      <c r="S31" s="746"/>
      <c r="T31" s="746"/>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97" t="s">
        <v>292</v>
      </c>
      <c r="C33" s="797"/>
      <c r="D33" s="797"/>
      <c r="E33" s="797"/>
      <c r="F33" s="797"/>
      <c r="G33" s="259"/>
      <c r="H33" s="259"/>
      <c r="I33" s="259"/>
      <c r="J33" s="259"/>
      <c r="K33" s="259"/>
      <c r="L33" s="259"/>
      <c r="M33" s="259"/>
      <c r="N33" s="797" t="s">
        <v>292</v>
      </c>
      <c r="O33" s="797"/>
      <c r="P33" s="797"/>
      <c r="Q33" s="797"/>
      <c r="R33" s="797"/>
      <c r="S33" s="797"/>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43" t="s">
        <v>248</v>
      </c>
      <c r="C35" s="643"/>
      <c r="D35" s="643"/>
      <c r="E35" s="643"/>
      <c r="F35" s="210"/>
      <c r="G35" s="210"/>
      <c r="H35" s="210"/>
      <c r="I35" s="182"/>
      <c r="J35" s="182"/>
      <c r="K35" s="182"/>
      <c r="L35" s="182"/>
      <c r="M35" s="644" t="s">
        <v>249</v>
      </c>
      <c r="N35" s="644"/>
      <c r="O35" s="644"/>
      <c r="P35" s="644"/>
      <c r="Q35" s="644"/>
      <c r="R35" s="644"/>
      <c r="S35" s="644"/>
      <c r="T35" s="644"/>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134</v>
      </c>
    </row>
    <row r="39" spans="2:8" s="262" customFormat="1" ht="15" hidden="1">
      <c r="B39" s="263" t="s">
        <v>186</v>
      </c>
      <c r="C39" s="263"/>
      <c r="D39" s="263"/>
      <c r="E39" s="263"/>
      <c r="F39" s="263"/>
      <c r="G39" s="263"/>
      <c r="H39" s="263"/>
    </row>
    <row r="40" spans="2:8" s="264" customFormat="1" ht="15" hidden="1">
      <c r="B40" s="263" t="s">
        <v>187</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13" t="s">
        <v>188</v>
      </c>
      <c r="B1" s="813"/>
      <c r="C1" s="813"/>
      <c r="D1" s="816" t="s">
        <v>365</v>
      </c>
      <c r="E1" s="816"/>
      <c r="F1" s="816"/>
      <c r="G1" s="816"/>
      <c r="H1" s="816"/>
      <c r="I1" s="816"/>
      <c r="J1" s="817" t="s">
        <v>366</v>
      </c>
      <c r="K1" s="818"/>
      <c r="L1" s="818"/>
    </row>
    <row r="2" spans="1:12" ht="34.5" customHeight="1">
      <c r="A2" s="819" t="s">
        <v>327</v>
      </c>
      <c r="B2" s="819"/>
      <c r="C2" s="819"/>
      <c r="D2" s="816"/>
      <c r="E2" s="816"/>
      <c r="F2" s="816"/>
      <c r="G2" s="816"/>
      <c r="H2" s="816"/>
      <c r="I2" s="816"/>
      <c r="J2" s="820" t="s">
        <v>367</v>
      </c>
      <c r="K2" s="821"/>
      <c r="L2" s="821"/>
    </row>
    <row r="3" spans="1:12" ht="15" customHeight="1">
      <c r="A3" s="265" t="s">
        <v>257</v>
      </c>
      <c r="B3" s="174"/>
      <c r="C3" s="822"/>
      <c r="D3" s="822"/>
      <c r="E3" s="822"/>
      <c r="F3" s="822"/>
      <c r="G3" s="822"/>
      <c r="H3" s="822"/>
      <c r="I3" s="822"/>
      <c r="J3" s="814"/>
      <c r="K3" s="815"/>
      <c r="L3" s="815"/>
    </row>
    <row r="4" spans="1:12" ht="15.75" customHeight="1">
      <c r="A4" s="266"/>
      <c r="B4" s="266"/>
      <c r="C4" s="267"/>
      <c r="D4" s="267"/>
      <c r="E4" s="170"/>
      <c r="F4" s="170"/>
      <c r="G4" s="170"/>
      <c r="H4" s="268"/>
      <c r="I4" s="268"/>
      <c r="J4" s="823" t="s">
        <v>189</v>
      </c>
      <c r="K4" s="823"/>
      <c r="L4" s="823"/>
    </row>
    <row r="5" spans="1:12" s="269" customFormat="1" ht="28.5" customHeight="1">
      <c r="A5" s="808" t="s">
        <v>57</v>
      </c>
      <c r="B5" s="808"/>
      <c r="C5" s="723" t="s">
        <v>31</v>
      </c>
      <c r="D5" s="723" t="s">
        <v>190</v>
      </c>
      <c r="E5" s="723"/>
      <c r="F5" s="723"/>
      <c r="G5" s="723"/>
      <c r="H5" s="723" t="s">
        <v>191</v>
      </c>
      <c r="I5" s="723"/>
      <c r="J5" s="723" t="s">
        <v>192</v>
      </c>
      <c r="K5" s="723"/>
      <c r="L5" s="723"/>
    </row>
    <row r="6" spans="1:13" s="269" customFormat="1" ht="80.25" customHeight="1">
      <c r="A6" s="808"/>
      <c r="B6" s="808"/>
      <c r="C6" s="723"/>
      <c r="D6" s="215" t="s">
        <v>193</v>
      </c>
      <c r="E6" s="215" t="s">
        <v>194</v>
      </c>
      <c r="F6" s="215" t="s">
        <v>328</v>
      </c>
      <c r="G6" s="215" t="s">
        <v>195</v>
      </c>
      <c r="H6" s="215" t="s">
        <v>196</v>
      </c>
      <c r="I6" s="215" t="s">
        <v>197</v>
      </c>
      <c r="J6" s="215" t="s">
        <v>198</v>
      </c>
      <c r="K6" s="215" t="s">
        <v>199</v>
      </c>
      <c r="L6" s="215" t="s">
        <v>200</v>
      </c>
      <c r="M6" s="270"/>
    </row>
    <row r="7" spans="1:12" s="271" customFormat="1" ht="16.5" customHeight="1">
      <c r="A7" s="824" t="s">
        <v>6</v>
      </c>
      <c r="B7" s="824"/>
      <c r="C7" s="221">
        <v>1</v>
      </c>
      <c r="D7" s="221">
        <v>2</v>
      </c>
      <c r="E7" s="221">
        <v>3</v>
      </c>
      <c r="F7" s="221">
        <v>4</v>
      </c>
      <c r="G7" s="221">
        <v>5</v>
      </c>
      <c r="H7" s="221">
        <v>6</v>
      </c>
      <c r="I7" s="221">
        <v>7</v>
      </c>
      <c r="J7" s="221">
        <v>8</v>
      </c>
      <c r="K7" s="221">
        <v>9</v>
      </c>
      <c r="L7" s="221">
        <v>10</v>
      </c>
    </row>
    <row r="8" spans="1:12" s="271" customFormat="1" ht="16.5" customHeight="1">
      <c r="A8" s="811" t="s">
        <v>325</v>
      </c>
      <c r="B8" s="812"/>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09" t="s">
        <v>301</v>
      </c>
      <c r="B9" s="810"/>
      <c r="C9" s="224">
        <v>9</v>
      </c>
      <c r="D9" s="224">
        <v>2</v>
      </c>
      <c r="E9" s="224">
        <v>2</v>
      </c>
      <c r="F9" s="224">
        <v>0</v>
      </c>
      <c r="G9" s="224">
        <v>5</v>
      </c>
      <c r="H9" s="224">
        <v>8</v>
      </c>
      <c r="I9" s="224">
        <v>0</v>
      </c>
      <c r="J9" s="224">
        <v>8</v>
      </c>
      <c r="K9" s="224">
        <v>1</v>
      </c>
      <c r="L9" s="224">
        <v>0</v>
      </c>
    </row>
    <row r="10" spans="1:12" s="271" customFormat="1" ht="16.5" customHeight="1">
      <c r="A10" s="825" t="s">
        <v>185</v>
      </c>
      <c r="B10" s="825"/>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270</v>
      </c>
      <c r="C13" s="272">
        <f aca="true" t="shared" si="3" ref="C13:C23">D13+E13+F13+G13</f>
        <v>0</v>
      </c>
      <c r="D13" s="231">
        <v>0</v>
      </c>
      <c r="E13" s="231">
        <v>0</v>
      </c>
      <c r="F13" s="231">
        <v>0</v>
      </c>
      <c r="G13" s="231">
        <v>0</v>
      </c>
      <c r="H13" s="231">
        <v>0</v>
      </c>
      <c r="I13" s="231">
        <v>0</v>
      </c>
      <c r="J13" s="273">
        <v>0</v>
      </c>
      <c r="K13" s="273">
        <v>0</v>
      </c>
      <c r="L13" s="273">
        <v>0</v>
      </c>
      <c r="AF13" s="271" t="s">
        <v>269</v>
      </c>
    </row>
    <row r="14" spans="1:37" s="271" customFormat="1" ht="16.5" customHeight="1">
      <c r="A14" s="274">
        <v>2</v>
      </c>
      <c r="B14" s="68" t="s">
        <v>302</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273</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274</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329</v>
      </c>
      <c r="C17" s="272">
        <f t="shared" si="3"/>
        <v>1</v>
      </c>
      <c r="D17" s="231">
        <v>0</v>
      </c>
      <c r="E17" s="231">
        <v>0</v>
      </c>
      <c r="F17" s="231">
        <v>0</v>
      </c>
      <c r="G17" s="231">
        <v>1</v>
      </c>
      <c r="H17" s="231">
        <v>1</v>
      </c>
      <c r="I17" s="231">
        <v>0</v>
      </c>
      <c r="J17" s="273">
        <v>1</v>
      </c>
      <c r="K17" s="273">
        <v>0</v>
      </c>
      <c r="L17" s="273">
        <v>0</v>
      </c>
      <c r="AF17" s="199" t="s">
        <v>272</v>
      </c>
    </row>
    <row r="18" spans="1:12" s="271" customFormat="1" ht="16.5" customHeight="1">
      <c r="A18" s="274">
        <v>6</v>
      </c>
      <c r="B18" s="68" t="s">
        <v>276</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281</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283</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284</v>
      </c>
      <c r="C21" s="272">
        <f t="shared" si="3"/>
        <v>0</v>
      </c>
      <c r="D21" s="231">
        <v>0</v>
      </c>
      <c r="E21" s="231">
        <v>0</v>
      </c>
      <c r="F21" s="231">
        <v>0</v>
      </c>
      <c r="G21" s="231">
        <v>0</v>
      </c>
      <c r="H21" s="231">
        <v>0</v>
      </c>
      <c r="I21" s="231">
        <v>0</v>
      </c>
      <c r="J21" s="273">
        <v>0</v>
      </c>
      <c r="K21" s="273">
        <v>0</v>
      </c>
      <c r="L21" s="273">
        <v>0</v>
      </c>
      <c r="AJ21" s="271" t="s">
        <v>277</v>
      </c>
      <c r="AK21" s="271" t="s">
        <v>278</v>
      </c>
      <c r="AL21" s="271" t="s">
        <v>279</v>
      </c>
      <c r="AM21" s="199" t="s">
        <v>280</v>
      </c>
    </row>
    <row r="22" spans="1:39" s="271" customFormat="1" ht="16.5" customHeight="1">
      <c r="A22" s="274">
        <v>10</v>
      </c>
      <c r="B22" s="68" t="s">
        <v>285</v>
      </c>
      <c r="C22" s="272">
        <f t="shared" si="3"/>
        <v>1</v>
      </c>
      <c r="D22" s="231">
        <v>0</v>
      </c>
      <c r="E22" s="231">
        <v>1</v>
      </c>
      <c r="F22" s="231">
        <v>0</v>
      </c>
      <c r="G22" s="231">
        <v>0</v>
      </c>
      <c r="H22" s="231">
        <v>1</v>
      </c>
      <c r="I22" s="231">
        <v>0</v>
      </c>
      <c r="J22" s="273">
        <v>1</v>
      </c>
      <c r="K22" s="273">
        <v>0</v>
      </c>
      <c r="L22" s="273">
        <v>0</v>
      </c>
      <c r="AM22" s="199" t="s">
        <v>282</v>
      </c>
    </row>
    <row r="23" spans="1:12" s="271" customFormat="1" ht="16.5" customHeight="1">
      <c r="A23" s="274">
        <v>11</v>
      </c>
      <c r="B23" s="68" t="s">
        <v>287</v>
      </c>
      <c r="C23" s="272">
        <f t="shared" si="3"/>
        <v>0</v>
      </c>
      <c r="D23" s="231">
        <v>0</v>
      </c>
      <c r="E23" s="231">
        <v>0</v>
      </c>
      <c r="F23" s="231">
        <v>0</v>
      </c>
      <c r="G23" s="231">
        <v>0</v>
      </c>
      <c r="H23" s="231">
        <v>0</v>
      </c>
      <c r="I23" s="231">
        <v>0</v>
      </c>
      <c r="J23" s="273">
        <v>0</v>
      </c>
      <c r="K23" s="273">
        <v>0</v>
      </c>
      <c r="L23" s="273">
        <v>0</v>
      </c>
    </row>
    <row r="24" ht="9" customHeight="1">
      <c r="AJ24" s="233" t="s">
        <v>277</v>
      </c>
    </row>
    <row r="25" spans="1:36" ht="15.75" customHeight="1">
      <c r="A25" s="758" t="s">
        <v>330</v>
      </c>
      <c r="B25" s="758"/>
      <c r="C25" s="758"/>
      <c r="D25" s="758"/>
      <c r="E25" s="182"/>
      <c r="F25" s="763" t="s">
        <v>288</v>
      </c>
      <c r="G25" s="763"/>
      <c r="H25" s="763"/>
      <c r="I25" s="763"/>
      <c r="J25" s="763"/>
      <c r="K25" s="763"/>
      <c r="L25" s="763"/>
      <c r="AJ25" s="190" t="s">
        <v>286</v>
      </c>
    </row>
    <row r="26" spans="1:44" ht="15" customHeight="1">
      <c r="A26" s="748" t="s">
        <v>158</v>
      </c>
      <c r="B26" s="748"/>
      <c r="C26" s="748"/>
      <c r="D26" s="748"/>
      <c r="E26" s="183"/>
      <c r="F26" s="751" t="s">
        <v>159</v>
      </c>
      <c r="G26" s="751"/>
      <c r="H26" s="751"/>
      <c r="I26" s="751"/>
      <c r="J26" s="751"/>
      <c r="K26" s="751"/>
      <c r="L26" s="751"/>
      <c r="AR26" s="190"/>
    </row>
    <row r="27" spans="1:12" s="170" customFormat="1" ht="18.75">
      <c r="A27" s="745"/>
      <c r="B27" s="745"/>
      <c r="C27" s="745"/>
      <c r="D27" s="745"/>
      <c r="E27" s="182"/>
      <c r="F27" s="746"/>
      <c r="G27" s="746"/>
      <c r="H27" s="746"/>
      <c r="I27" s="746"/>
      <c r="J27" s="746"/>
      <c r="K27" s="746"/>
      <c r="L27" s="746"/>
    </row>
    <row r="28" spans="1:35" ht="18">
      <c r="A28" s="187"/>
      <c r="B28" s="187"/>
      <c r="C28" s="182"/>
      <c r="D28" s="182"/>
      <c r="E28" s="182"/>
      <c r="F28" s="182"/>
      <c r="G28" s="182"/>
      <c r="H28" s="182"/>
      <c r="I28" s="182"/>
      <c r="J28" s="182"/>
      <c r="K28" s="182"/>
      <c r="L28" s="182"/>
      <c r="AG28" s="233" t="s">
        <v>289</v>
      </c>
      <c r="AI28" s="190">
        <f>82/88</f>
        <v>0.9318181818181818</v>
      </c>
    </row>
    <row r="29" spans="1:12" ht="18">
      <c r="A29" s="187"/>
      <c r="B29" s="807" t="s">
        <v>292</v>
      </c>
      <c r="C29" s="807"/>
      <c r="D29" s="182"/>
      <c r="E29" s="182"/>
      <c r="F29" s="182"/>
      <c r="G29" s="182"/>
      <c r="H29" s="807" t="s">
        <v>292</v>
      </c>
      <c r="I29" s="807"/>
      <c r="J29" s="807"/>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202</v>
      </c>
      <c r="B32" s="185"/>
      <c r="C32" s="186"/>
      <c r="D32" s="186"/>
      <c r="E32" s="186"/>
      <c r="F32" s="186"/>
      <c r="G32" s="186"/>
      <c r="H32" s="186"/>
      <c r="I32" s="186"/>
      <c r="J32" s="186"/>
      <c r="K32" s="186"/>
      <c r="L32" s="186"/>
    </row>
    <row r="33" spans="1:12" s="211" customFormat="1" ht="18.75" hidden="1">
      <c r="A33" s="237"/>
      <c r="B33" s="279" t="s">
        <v>203</v>
      </c>
      <c r="C33" s="279"/>
      <c r="D33" s="279"/>
      <c r="E33" s="236"/>
      <c r="F33" s="236"/>
      <c r="G33" s="236"/>
      <c r="H33" s="236"/>
      <c r="I33" s="236"/>
      <c r="J33" s="236"/>
      <c r="K33" s="236"/>
      <c r="L33" s="236"/>
    </row>
    <row r="34" spans="1:12" s="211" customFormat="1" ht="18.75" hidden="1">
      <c r="A34" s="237"/>
      <c r="B34" s="279" t="s">
        <v>204</v>
      </c>
      <c r="C34" s="279"/>
      <c r="D34" s="279"/>
      <c r="E34" s="279"/>
      <c r="F34" s="236"/>
      <c r="G34" s="236"/>
      <c r="H34" s="236"/>
      <c r="I34" s="236"/>
      <c r="J34" s="236"/>
      <c r="K34" s="236"/>
      <c r="L34" s="236"/>
    </row>
    <row r="35" spans="1:12" s="211" customFormat="1" ht="18.75" hidden="1">
      <c r="A35" s="237"/>
      <c r="B35" s="236" t="s">
        <v>205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43" t="s">
        <v>248</v>
      </c>
      <c r="B37" s="643"/>
      <c r="C37" s="643"/>
      <c r="D37" s="643"/>
      <c r="E37" s="210"/>
      <c r="F37" s="644" t="s">
        <v>249</v>
      </c>
      <c r="G37" s="644"/>
      <c r="H37" s="644"/>
      <c r="I37" s="644"/>
      <c r="J37" s="644"/>
      <c r="K37" s="644"/>
      <c r="L37" s="644"/>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26" t="s">
        <v>206</v>
      </c>
      <c r="B1" s="826"/>
      <c r="C1" s="826"/>
      <c r="D1" s="816" t="s">
        <v>368</v>
      </c>
      <c r="E1" s="816"/>
      <c r="F1" s="816"/>
      <c r="G1" s="816"/>
      <c r="H1" s="816"/>
      <c r="I1" s="170"/>
      <c r="J1" s="171" t="s">
        <v>362</v>
      </c>
      <c r="K1" s="280"/>
      <c r="L1" s="280"/>
    </row>
    <row r="2" spans="1:12" ht="15.75" customHeight="1">
      <c r="A2" s="830" t="s">
        <v>303</v>
      </c>
      <c r="B2" s="830"/>
      <c r="C2" s="830"/>
      <c r="D2" s="816"/>
      <c r="E2" s="816"/>
      <c r="F2" s="816"/>
      <c r="G2" s="816"/>
      <c r="H2" s="816"/>
      <c r="I2" s="170"/>
      <c r="J2" s="281" t="s">
        <v>304</v>
      </c>
      <c r="K2" s="281"/>
      <c r="L2" s="281"/>
    </row>
    <row r="3" spans="1:12" ht="18.75" customHeight="1">
      <c r="A3" s="736" t="s">
        <v>255</v>
      </c>
      <c r="B3" s="736"/>
      <c r="C3" s="736"/>
      <c r="D3" s="167"/>
      <c r="E3" s="167"/>
      <c r="F3" s="167"/>
      <c r="G3" s="167"/>
      <c r="H3" s="167"/>
      <c r="I3" s="170"/>
      <c r="J3" s="174" t="s">
        <v>361</v>
      </c>
      <c r="K3" s="174"/>
      <c r="L3" s="174"/>
    </row>
    <row r="4" spans="1:12" ht="15.75" customHeight="1">
      <c r="A4" s="827" t="s">
        <v>331</v>
      </c>
      <c r="B4" s="827"/>
      <c r="C4" s="827"/>
      <c r="D4" s="842"/>
      <c r="E4" s="842"/>
      <c r="F4" s="842"/>
      <c r="G4" s="842"/>
      <c r="H4" s="842"/>
      <c r="I4" s="170"/>
      <c r="J4" s="282" t="s">
        <v>296</v>
      </c>
      <c r="K4" s="282"/>
      <c r="L4" s="282"/>
    </row>
    <row r="5" spans="1:12" ht="15.75">
      <c r="A5" s="831"/>
      <c r="B5" s="831"/>
      <c r="C5" s="166"/>
      <c r="D5" s="170"/>
      <c r="E5" s="170"/>
      <c r="F5" s="170"/>
      <c r="G5" s="170"/>
      <c r="H5" s="283"/>
      <c r="I5" s="843" t="s">
        <v>332</v>
      </c>
      <c r="J5" s="843"/>
      <c r="K5" s="843"/>
      <c r="L5" s="843"/>
    </row>
    <row r="6" spans="1:12" ht="18.75" customHeight="1">
      <c r="A6" s="728" t="s">
        <v>57</v>
      </c>
      <c r="B6" s="729"/>
      <c r="C6" s="838" t="s">
        <v>207</v>
      </c>
      <c r="D6" s="749" t="s">
        <v>208</v>
      </c>
      <c r="E6" s="841"/>
      <c r="F6" s="750"/>
      <c r="G6" s="749" t="s">
        <v>209</v>
      </c>
      <c r="H6" s="841"/>
      <c r="I6" s="841"/>
      <c r="J6" s="841"/>
      <c r="K6" s="841"/>
      <c r="L6" s="750"/>
    </row>
    <row r="7" spans="1:12" ht="15.75" customHeight="1">
      <c r="A7" s="730"/>
      <c r="B7" s="731"/>
      <c r="C7" s="840"/>
      <c r="D7" s="749" t="s">
        <v>7</v>
      </c>
      <c r="E7" s="841"/>
      <c r="F7" s="750"/>
      <c r="G7" s="838" t="s">
        <v>30</v>
      </c>
      <c r="H7" s="749" t="s">
        <v>7</v>
      </c>
      <c r="I7" s="841"/>
      <c r="J7" s="841"/>
      <c r="K7" s="841"/>
      <c r="L7" s="750"/>
    </row>
    <row r="8" spans="1:12" ht="14.25" customHeight="1">
      <c r="A8" s="730"/>
      <c r="B8" s="731"/>
      <c r="C8" s="840"/>
      <c r="D8" s="838" t="s">
        <v>210</v>
      </c>
      <c r="E8" s="838" t="s">
        <v>211</v>
      </c>
      <c r="F8" s="838" t="s">
        <v>212</v>
      </c>
      <c r="G8" s="840"/>
      <c r="H8" s="838" t="s">
        <v>213</v>
      </c>
      <c r="I8" s="838" t="s">
        <v>214</v>
      </c>
      <c r="J8" s="838" t="s">
        <v>215</v>
      </c>
      <c r="K8" s="838" t="s">
        <v>216</v>
      </c>
      <c r="L8" s="838" t="s">
        <v>217</v>
      </c>
    </row>
    <row r="9" spans="1:12" ht="77.25" customHeight="1">
      <c r="A9" s="732"/>
      <c r="B9" s="733"/>
      <c r="C9" s="839"/>
      <c r="D9" s="839"/>
      <c r="E9" s="839"/>
      <c r="F9" s="839"/>
      <c r="G9" s="839"/>
      <c r="H9" s="839"/>
      <c r="I9" s="839"/>
      <c r="J9" s="839"/>
      <c r="K9" s="839"/>
      <c r="L9" s="839"/>
    </row>
    <row r="10" spans="1:12" s="271" customFormat="1" ht="16.5" customHeight="1">
      <c r="A10" s="832" t="s">
        <v>6</v>
      </c>
      <c r="B10" s="833"/>
      <c r="C10" s="220">
        <v>1</v>
      </c>
      <c r="D10" s="220">
        <v>2</v>
      </c>
      <c r="E10" s="220">
        <v>3</v>
      </c>
      <c r="F10" s="220">
        <v>4</v>
      </c>
      <c r="G10" s="220">
        <v>5</v>
      </c>
      <c r="H10" s="220">
        <v>6</v>
      </c>
      <c r="I10" s="220">
        <v>7</v>
      </c>
      <c r="J10" s="220">
        <v>8</v>
      </c>
      <c r="K10" s="221" t="s">
        <v>63</v>
      </c>
      <c r="L10" s="221" t="s">
        <v>83</v>
      </c>
    </row>
    <row r="11" spans="1:12" s="271" customFormat="1" ht="16.5" customHeight="1">
      <c r="A11" s="836" t="s">
        <v>300</v>
      </c>
      <c r="B11" s="837"/>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34" t="s">
        <v>301</v>
      </c>
      <c r="B12" s="835"/>
      <c r="C12" s="224">
        <v>12</v>
      </c>
      <c r="D12" s="224">
        <v>0</v>
      </c>
      <c r="E12" s="224">
        <v>1</v>
      </c>
      <c r="F12" s="224">
        <v>11</v>
      </c>
      <c r="G12" s="224">
        <v>10</v>
      </c>
      <c r="H12" s="224">
        <v>0</v>
      </c>
      <c r="I12" s="224">
        <v>0</v>
      </c>
      <c r="J12" s="224">
        <v>0</v>
      </c>
      <c r="K12" s="224">
        <v>6</v>
      </c>
      <c r="L12" s="224">
        <v>4</v>
      </c>
    </row>
    <row r="13" spans="1:32" s="271" customFormat="1" ht="16.5" customHeight="1">
      <c r="A13" s="828" t="s">
        <v>30</v>
      </c>
      <c r="B13" s="829"/>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269</v>
      </c>
    </row>
    <row r="14" spans="1:37" s="271" customFormat="1" ht="16.5" customHeight="1">
      <c r="A14" s="274" t="s">
        <v>0</v>
      </c>
      <c r="B14" s="198" t="s">
        <v>136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270</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271</v>
      </c>
      <c r="C17" s="226">
        <f t="shared" si="2"/>
        <v>1</v>
      </c>
      <c r="D17" s="231">
        <v>0</v>
      </c>
      <c r="E17" s="231">
        <v>0</v>
      </c>
      <c r="F17" s="231">
        <v>1</v>
      </c>
      <c r="G17" s="226">
        <f t="shared" si="1"/>
        <v>1</v>
      </c>
      <c r="H17" s="231">
        <v>0</v>
      </c>
      <c r="I17" s="231">
        <v>0</v>
      </c>
      <c r="J17" s="273">
        <v>0</v>
      </c>
      <c r="K17" s="273">
        <v>0</v>
      </c>
      <c r="L17" s="273">
        <v>1</v>
      </c>
      <c r="M17" s="285"/>
      <c r="AF17" s="199" t="s">
        <v>272</v>
      </c>
    </row>
    <row r="18" spans="1:14" s="271" customFormat="1" ht="15.75" customHeight="1">
      <c r="A18" s="200">
        <v>3</v>
      </c>
      <c r="B18" s="68" t="s">
        <v>273</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274</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275</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276</v>
      </c>
      <c r="C21" s="226">
        <f t="shared" si="2"/>
        <v>0</v>
      </c>
      <c r="D21" s="231">
        <v>0</v>
      </c>
      <c r="E21" s="231">
        <v>0</v>
      </c>
      <c r="F21" s="231">
        <v>0</v>
      </c>
      <c r="G21" s="226">
        <f t="shared" si="1"/>
        <v>0</v>
      </c>
      <c r="H21" s="231">
        <v>0</v>
      </c>
      <c r="I21" s="231">
        <v>0</v>
      </c>
      <c r="J21" s="273">
        <v>0</v>
      </c>
      <c r="K21" s="273">
        <v>0</v>
      </c>
      <c r="L21" s="273">
        <v>0</v>
      </c>
      <c r="M21" s="285"/>
      <c r="AJ21" s="271" t="s">
        <v>277</v>
      </c>
      <c r="AK21" s="271" t="s">
        <v>278</v>
      </c>
      <c r="AL21" s="271" t="s">
        <v>279</v>
      </c>
      <c r="AM21" s="199" t="s">
        <v>280</v>
      </c>
    </row>
    <row r="22" spans="1:39" s="271" customFormat="1" ht="15.75" customHeight="1">
      <c r="A22" s="200">
        <v>7</v>
      </c>
      <c r="B22" s="68" t="s">
        <v>281</v>
      </c>
      <c r="C22" s="226">
        <f t="shared" si="2"/>
        <v>0</v>
      </c>
      <c r="D22" s="231">
        <v>0</v>
      </c>
      <c r="E22" s="231">
        <v>0</v>
      </c>
      <c r="F22" s="231">
        <v>0</v>
      </c>
      <c r="G22" s="226">
        <f t="shared" si="1"/>
        <v>0</v>
      </c>
      <c r="H22" s="231">
        <v>0</v>
      </c>
      <c r="I22" s="231">
        <v>0</v>
      </c>
      <c r="J22" s="273">
        <v>0</v>
      </c>
      <c r="K22" s="273">
        <v>0</v>
      </c>
      <c r="L22" s="273">
        <v>0</v>
      </c>
      <c r="M22" s="285"/>
      <c r="N22" s="178"/>
      <c r="AM22" s="199" t="s">
        <v>282</v>
      </c>
    </row>
    <row r="23" spans="1:13" s="271" customFormat="1" ht="15.75" customHeight="1">
      <c r="A23" s="200">
        <v>8</v>
      </c>
      <c r="B23" s="68" t="s">
        <v>283</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284</v>
      </c>
      <c r="C24" s="226">
        <f t="shared" si="2"/>
        <v>0</v>
      </c>
      <c r="D24" s="231">
        <v>0</v>
      </c>
      <c r="E24" s="231">
        <v>0</v>
      </c>
      <c r="F24" s="231">
        <v>0</v>
      </c>
      <c r="G24" s="226">
        <f t="shared" si="1"/>
        <v>0</v>
      </c>
      <c r="H24" s="231">
        <v>0</v>
      </c>
      <c r="I24" s="231">
        <v>0</v>
      </c>
      <c r="J24" s="273">
        <v>0</v>
      </c>
      <c r="K24" s="273">
        <v>0</v>
      </c>
      <c r="L24" s="273">
        <v>0</v>
      </c>
      <c r="M24" s="285"/>
      <c r="AJ24" s="271" t="s">
        <v>277</v>
      </c>
    </row>
    <row r="25" spans="1:36" s="271" customFormat="1" ht="15.75" customHeight="1">
      <c r="A25" s="200">
        <v>10</v>
      </c>
      <c r="B25" s="68" t="s">
        <v>285</v>
      </c>
      <c r="C25" s="226">
        <f t="shared" si="2"/>
        <v>1</v>
      </c>
      <c r="D25" s="231">
        <v>0</v>
      </c>
      <c r="E25" s="231">
        <v>0</v>
      </c>
      <c r="F25" s="231">
        <v>1</v>
      </c>
      <c r="G25" s="226">
        <f t="shared" si="1"/>
        <v>1</v>
      </c>
      <c r="H25" s="231">
        <v>0</v>
      </c>
      <c r="I25" s="231">
        <v>0</v>
      </c>
      <c r="J25" s="273">
        <v>0</v>
      </c>
      <c r="K25" s="273">
        <v>0</v>
      </c>
      <c r="L25" s="273">
        <v>1</v>
      </c>
      <c r="M25" s="285"/>
      <c r="AJ25" s="199" t="s">
        <v>286</v>
      </c>
    </row>
    <row r="26" spans="1:44" s="271" customFormat="1" ht="15.75" customHeight="1">
      <c r="A26" s="200">
        <v>11</v>
      </c>
      <c r="B26" s="68" t="s">
        <v>287</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58" t="s">
        <v>288</v>
      </c>
      <c r="B28" s="758"/>
      <c r="C28" s="758"/>
      <c r="D28" s="758"/>
      <c r="E28" s="758"/>
      <c r="F28" s="182"/>
      <c r="G28" s="181"/>
      <c r="H28" s="294" t="s">
        <v>333</v>
      </c>
      <c r="I28" s="295"/>
      <c r="J28" s="295"/>
      <c r="K28" s="295"/>
      <c r="L28" s="295"/>
      <c r="AG28" s="233" t="s">
        <v>289</v>
      </c>
      <c r="AI28" s="190">
        <f>82/88</f>
        <v>0.9318181818181818</v>
      </c>
    </row>
    <row r="29" spans="1:12" ht="15" customHeight="1">
      <c r="A29" s="748" t="s">
        <v>4</v>
      </c>
      <c r="B29" s="748"/>
      <c r="C29" s="748"/>
      <c r="D29" s="748"/>
      <c r="E29" s="748"/>
      <c r="F29" s="182"/>
      <c r="G29" s="183"/>
      <c r="H29" s="751" t="s">
        <v>159</v>
      </c>
      <c r="I29" s="751"/>
      <c r="J29" s="751"/>
      <c r="K29" s="751"/>
      <c r="L29" s="751"/>
    </row>
    <row r="30" spans="1:14" s="170" customFormat="1" ht="18.75">
      <c r="A30" s="745"/>
      <c r="B30" s="745"/>
      <c r="C30" s="745"/>
      <c r="D30" s="745"/>
      <c r="E30" s="745"/>
      <c r="F30" s="296"/>
      <c r="G30" s="182"/>
      <c r="H30" s="746"/>
      <c r="I30" s="746"/>
      <c r="J30" s="746"/>
      <c r="K30" s="746"/>
      <c r="L30" s="746"/>
      <c r="M30" s="297"/>
      <c r="N30" s="297"/>
    </row>
    <row r="31" spans="1:12" ht="18">
      <c r="A31" s="182"/>
      <c r="B31" s="182"/>
      <c r="C31" s="182"/>
      <c r="D31" s="182"/>
      <c r="E31" s="182"/>
      <c r="F31" s="182"/>
      <c r="G31" s="182"/>
      <c r="H31" s="182"/>
      <c r="I31" s="182"/>
      <c r="J31" s="182"/>
      <c r="K31" s="182"/>
      <c r="L31" s="298"/>
    </row>
    <row r="32" spans="1:12" ht="18">
      <c r="A32" s="182"/>
      <c r="B32" s="807" t="s">
        <v>292</v>
      </c>
      <c r="C32" s="807"/>
      <c r="D32" s="807"/>
      <c r="E32" s="807"/>
      <c r="F32" s="182"/>
      <c r="G32" s="182"/>
      <c r="H32" s="182"/>
      <c r="I32" s="807" t="s">
        <v>292</v>
      </c>
      <c r="J32" s="807"/>
      <c r="K32" s="807"/>
      <c r="L32" s="298"/>
    </row>
    <row r="33" spans="1:12" ht="10.5" customHeight="1">
      <c r="A33" s="182"/>
      <c r="B33" s="182"/>
      <c r="C33" s="299" t="s">
        <v>291</v>
      </c>
      <c r="D33" s="299"/>
      <c r="E33" s="299"/>
      <c r="F33" s="299"/>
      <c r="G33" s="299"/>
      <c r="H33" s="299"/>
      <c r="I33" s="299"/>
      <c r="J33" s="300" t="s">
        <v>291</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44" t="s">
        <v>218</v>
      </c>
      <c r="C40" s="844"/>
      <c r="D40" s="844"/>
      <c r="E40" s="844"/>
      <c r="F40" s="844"/>
      <c r="G40" s="303"/>
      <c r="H40" s="301"/>
      <c r="I40" s="301"/>
      <c r="J40" s="301"/>
      <c r="K40" s="301"/>
      <c r="L40" s="301"/>
      <c r="M40" s="265"/>
      <c r="N40" s="265"/>
      <c r="O40" s="265"/>
      <c r="P40" s="265"/>
    </row>
    <row r="41" spans="1:12" ht="12.75" customHeight="1" hidden="1">
      <c r="A41" s="182"/>
      <c r="B41" s="279" t="s">
        <v>219</v>
      </c>
      <c r="C41" s="304"/>
      <c r="D41" s="304"/>
      <c r="E41" s="304"/>
      <c r="F41" s="304"/>
      <c r="G41" s="182"/>
      <c r="H41" s="301"/>
      <c r="I41" s="301"/>
      <c r="J41" s="301"/>
      <c r="K41" s="301"/>
      <c r="L41" s="301"/>
    </row>
    <row r="42" spans="1:12" ht="12.75" customHeight="1" hidden="1">
      <c r="A42" s="182"/>
      <c r="B42" s="236" t="s">
        <v>220</v>
      </c>
      <c r="C42" s="304"/>
      <c r="D42" s="304"/>
      <c r="E42" s="304"/>
      <c r="F42" s="304"/>
      <c r="G42" s="182"/>
      <c r="H42" s="301"/>
      <c r="I42" s="301"/>
      <c r="J42" s="301"/>
      <c r="K42" s="301"/>
      <c r="L42" s="301"/>
    </row>
    <row r="43" spans="1:12" ht="18.75">
      <c r="A43" s="643" t="s">
        <v>334</v>
      </c>
      <c r="B43" s="643"/>
      <c r="C43" s="643"/>
      <c r="D43" s="643"/>
      <c r="E43" s="643"/>
      <c r="F43" s="182"/>
      <c r="G43" s="301"/>
      <c r="H43" s="644" t="s">
        <v>249</v>
      </c>
      <c r="I43" s="644"/>
      <c r="J43" s="644"/>
      <c r="K43" s="644"/>
      <c r="L43" s="644"/>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39" t="s">
        <v>221</v>
      </c>
      <c r="B1" s="739"/>
      <c r="C1" s="739"/>
      <c r="D1" s="739"/>
      <c r="E1" s="306"/>
      <c r="F1" s="734" t="s">
        <v>369</v>
      </c>
      <c r="G1" s="734"/>
      <c r="H1" s="734"/>
      <c r="I1" s="734"/>
      <c r="J1" s="734"/>
      <c r="K1" s="734"/>
      <c r="L1" s="734"/>
      <c r="M1" s="734"/>
      <c r="N1" s="734"/>
      <c r="O1" s="734"/>
      <c r="P1" s="307" t="s">
        <v>293</v>
      </c>
      <c r="Q1" s="308"/>
      <c r="R1" s="308"/>
      <c r="S1" s="308"/>
      <c r="T1" s="308"/>
    </row>
    <row r="2" spans="1:20" s="177" customFormat="1" ht="20.25" customHeight="1">
      <c r="A2" s="845" t="s">
        <v>303</v>
      </c>
      <c r="B2" s="845"/>
      <c r="C2" s="845"/>
      <c r="D2" s="845"/>
      <c r="E2" s="306"/>
      <c r="F2" s="734"/>
      <c r="G2" s="734"/>
      <c r="H2" s="734"/>
      <c r="I2" s="734"/>
      <c r="J2" s="734"/>
      <c r="K2" s="734"/>
      <c r="L2" s="734"/>
      <c r="M2" s="734"/>
      <c r="N2" s="734"/>
      <c r="O2" s="734"/>
      <c r="P2" s="308" t="s">
        <v>335</v>
      </c>
      <c r="Q2" s="308"/>
      <c r="R2" s="308"/>
      <c r="S2" s="308"/>
      <c r="T2" s="308"/>
    </row>
    <row r="3" spans="1:20" s="177" customFormat="1" ht="15" customHeight="1">
      <c r="A3" s="845" t="s">
        <v>255</v>
      </c>
      <c r="B3" s="845"/>
      <c r="C3" s="845"/>
      <c r="D3" s="845"/>
      <c r="E3" s="306"/>
      <c r="F3" s="734"/>
      <c r="G3" s="734"/>
      <c r="H3" s="734"/>
      <c r="I3" s="734"/>
      <c r="J3" s="734"/>
      <c r="K3" s="734"/>
      <c r="L3" s="734"/>
      <c r="M3" s="734"/>
      <c r="N3" s="734"/>
      <c r="O3" s="734"/>
      <c r="P3" s="307" t="s">
        <v>361</v>
      </c>
      <c r="Q3" s="307"/>
      <c r="R3" s="307"/>
      <c r="S3" s="309"/>
      <c r="T3" s="309"/>
    </row>
    <row r="4" spans="1:20" s="177" customFormat="1" ht="15.75" customHeight="1">
      <c r="A4" s="862" t="s">
        <v>336</v>
      </c>
      <c r="B4" s="862"/>
      <c r="C4" s="862"/>
      <c r="D4" s="862"/>
      <c r="E4" s="307"/>
      <c r="F4" s="734"/>
      <c r="G4" s="734"/>
      <c r="H4" s="734"/>
      <c r="I4" s="734"/>
      <c r="J4" s="734"/>
      <c r="K4" s="734"/>
      <c r="L4" s="734"/>
      <c r="M4" s="734"/>
      <c r="N4" s="734"/>
      <c r="O4" s="734"/>
      <c r="P4" s="308" t="s">
        <v>305</v>
      </c>
      <c r="Q4" s="307"/>
      <c r="R4" s="307"/>
      <c r="S4" s="309"/>
      <c r="T4" s="309"/>
    </row>
    <row r="5" spans="1:18" s="177" customFormat="1" ht="24" customHeight="1">
      <c r="A5" s="310"/>
      <c r="B5" s="310"/>
      <c r="C5" s="310"/>
      <c r="F5" s="865"/>
      <c r="G5" s="865"/>
      <c r="H5" s="865"/>
      <c r="I5" s="865"/>
      <c r="J5" s="865"/>
      <c r="K5" s="865"/>
      <c r="L5" s="865"/>
      <c r="M5" s="865"/>
      <c r="N5" s="865"/>
      <c r="O5" s="865"/>
      <c r="P5" s="311" t="s">
        <v>337</v>
      </c>
      <c r="Q5" s="312"/>
      <c r="R5" s="312"/>
    </row>
    <row r="6" spans="1:20" s="313" customFormat="1" ht="21.75" customHeight="1">
      <c r="A6" s="855" t="s">
        <v>57</v>
      </c>
      <c r="B6" s="856"/>
      <c r="C6" s="742" t="s">
        <v>31</v>
      </c>
      <c r="D6" s="726"/>
      <c r="E6" s="742" t="s">
        <v>7</v>
      </c>
      <c r="F6" s="846"/>
      <c r="G6" s="846"/>
      <c r="H6" s="846"/>
      <c r="I6" s="846"/>
      <c r="J6" s="846"/>
      <c r="K6" s="846"/>
      <c r="L6" s="846"/>
      <c r="M6" s="846"/>
      <c r="N6" s="846"/>
      <c r="O6" s="846"/>
      <c r="P6" s="846"/>
      <c r="Q6" s="846"/>
      <c r="R6" s="846"/>
      <c r="S6" s="846"/>
      <c r="T6" s="726"/>
    </row>
    <row r="7" spans="1:21" s="313" customFormat="1" ht="22.5" customHeight="1">
      <c r="A7" s="857"/>
      <c r="B7" s="858"/>
      <c r="C7" s="759" t="s">
        <v>338</v>
      </c>
      <c r="D7" s="759" t="s">
        <v>339</v>
      </c>
      <c r="E7" s="742" t="s">
        <v>222</v>
      </c>
      <c r="F7" s="860"/>
      <c r="G7" s="860"/>
      <c r="H7" s="860"/>
      <c r="I7" s="860"/>
      <c r="J7" s="860"/>
      <c r="K7" s="860"/>
      <c r="L7" s="861"/>
      <c r="M7" s="742" t="s">
        <v>340</v>
      </c>
      <c r="N7" s="846"/>
      <c r="O7" s="846"/>
      <c r="P7" s="846"/>
      <c r="Q7" s="846"/>
      <c r="R7" s="846"/>
      <c r="S7" s="846"/>
      <c r="T7" s="726"/>
      <c r="U7" s="314"/>
    </row>
    <row r="8" spans="1:20" s="313" customFormat="1" ht="42.75" customHeight="1">
      <c r="A8" s="857"/>
      <c r="B8" s="858"/>
      <c r="C8" s="760"/>
      <c r="D8" s="760"/>
      <c r="E8" s="723" t="s">
        <v>341</v>
      </c>
      <c r="F8" s="723"/>
      <c r="G8" s="742" t="s">
        <v>342</v>
      </c>
      <c r="H8" s="846"/>
      <c r="I8" s="846"/>
      <c r="J8" s="846"/>
      <c r="K8" s="846"/>
      <c r="L8" s="726"/>
      <c r="M8" s="723" t="s">
        <v>343</v>
      </c>
      <c r="N8" s="723"/>
      <c r="O8" s="742" t="s">
        <v>342</v>
      </c>
      <c r="P8" s="846"/>
      <c r="Q8" s="846"/>
      <c r="R8" s="846"/>
      <c r="S8" s="846"/>
      <c r="T8" s="726"/>
    </row>
    <row r="9" spans="1:20" s="313" customFormat="1" ht="35.25" customHeight="1">
      <c r="A9" s="857"/>
      <c r="B9" s="858"/>
      <c r="C9" s="760"/>
      <c r="D9" s="760"/>
      <c r="E9" s="759" t="s">
        <v>223</v>
      </c>
      <c r="F9" s="759" t="s">
        <v>224</v>
      </c>
      <c r="G9" s="849" t="s">
        <v>225</v>
      </c>
      <c r="H9" s="850"/>
      <c r="I9" s="849" t="s">
        <v>226</v>
      </c>
      <c r="J9" s="850"/>
      <c r="K9" s="849" t="s">
        <v>227</v>
      </c>
      <c r="L9" s="850"/>
      <c r="M9" s="759" t="s">
        <v>228</v>
      </c>
      <c r="N9" s="759" t="s">
        <v>224</v>
      </c>
      <c r="O9" s="849" t="s">
        <v>225</v>
      </c>
      <c r="P9" s="850"/>
      <c r="Q9" s="849" t="s">
        <v>229</v>
      </c>
      <c r="R9" s="850"/>
      <c r="S9" s="849" t="s">
        <v>230</v>
      </c>
      <c r="T9" s="850"/>
    </row>
    <row r="10" spans="1:20" s="313" customFormat="1" ht="25.5" customHeight="1">
      <c r="A10" s="849"/>
      <c r="B10" s="850"/>
      <c r="C10" s="761"/>
      <c r="D10" s="761"/>
      <c r="E10" s="761"/>
      <c r="F10" s="761"/>
      <c r="G10" s="215" t="s">
        <v>228</v>
      </c>
      <c r="H10" s="215" t="s">
        <v>224</v>
      </c>
      <c r="I10" s="219" t="s">
        <v>228</v>
      </c>
      <c r="J10" s="215" t="s">
        <v>224</v>
      </c>
      <c r="K10" s="219" t="s">
        <v>228</v>
      </c>
      <c r="L10" s="215" t="s">
        <v>224</v>
      </c>
      <c r="M10" s="761"/>
      <c r="N10" s="761"/>
      <c r="O10" s="215" t="s">
        <v>228</v>
      </c>
      <c r="P10" s="215" t="s">
        <v>224</v>
      </c>
      <c r="Q10" s="219" t="s">
        <v>228</v>
      </c>
      <c r="R10" s="215" t="s">
        <v>224</v>
      </c>
      <c r="S10" s="219" t="s">
        <v>228</v>
      </c>
      <c r="T10" s="215" t="s">
        <v>224</v>
      </c>
    </row>
    <row r="11" spans="1:32" s="222" customFormat="1" ht="12.75">
      <c r="A11" s="851" t="s">
        <v>6</v>
      </c>
      <c r="B11" s="852"/>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269</v>
      </c>
    </row>
    <row r="12" spans="1:20" s="222" customFormat="1" ht="20.25" customHeight="1">
      <c r="A12" s="847" t="s">
        <v>325</v>
      </c>
      <c r="B12" s="848"/>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63" t="s">
        <v>301</v>
      </c>
      <c r="B13" s="864"/>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53" t="s">
        <v>30</v>
      </c>
      <c r="B14" s="854"/>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270</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272</v>
      </c>
    </row>
    <row r="18" spans="1:20" s="178" customFormat="1" ht="15.75" customHeight="1">
      <c r="A18" s="200">
        <v>2</v>
      </c>
      <c r="B18" s="68" t="s">
        <v>302</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273</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274</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275</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277</v>
      </c>
      <c r="AK21" s="178" t="s">
        <v>278</v>
      </c>
      <c r="AL21" s="178" t="s">
        <v>279</v>
      </c>
      <c r="AM21" s="199" t="s">
        <v>280</v>
      </c>
    </row>
    <row r="22" spans="1:39" s="178" customFormat="1" ht="15.75" customHeight="1">
      <c r="A22" s="200">
        <v>6</v>
      </c>
      <c r="B22" s="68" t="s">
        <v>276</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282</v>
      </c>
    </row>
    <row r="23" spans="1:20" s="178" customFormat="1" ht="15.75" customHeight="1">
      <c r="A23" s="200">
        <v>7</v>
      </c>
      <c r="B23" s="68" t="s">
        <v>281</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283</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277</v>
      </c>
    </row>
    <row r="25" spans="1:36" s="178" customFormat="1" ht="15.75" customHeight="1">
      <c r="A25" s="200">
        <v>9</v>
      </c>
      <c r="B25" s="68" t="s">
        <v>284</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286</v>
      </c>
    </row>
    <row r="26" spans="1:44" s="178" customFormat="1" ht="15.75" customHeight="1">
      <c r="A26" s="200">
        <v>10</v>
      </c>
      <c r="B26" s="68" t="s">
        <v>285</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287</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289</v>
      </c>
      <c r="AI28" s="190">
        <f>82/88</f>
        <v>0.9318181818181818</v>
      </c>
    </row>
    <row r="29" spans="1:20" ht="15.75" customHeight="1">
      <c r="A29" s="180"/>
      <c r="B29" s="758" t="s">
        <v>288</v>
      </c>
      <c r="C29" s="758"/>
      <c r="D29" s="758"/>
      <c r="E29" s="758"/>
      <c r="F29" s="758"/>
      <c r="G29" s="758"/>
      <c r="H29" s="181"/>
      <c r="I29" s="181"/>
      <c r="J29" s="182"/>
      <c r="K29" s="181"/>
      <c r="L29" s="763" t="s">
        <v>288</v>
      </c>
      <c r="M29" s="763"/>
      <c r="N29" s="763"/>
      <c r="O29" s="763"/>
      <c r="P29" s="763"/>
      <c r="Q29" s="763"/>
      <c r="R29" s="763"/>
      <c r="S29" s="763"/>
      <c r="T29" s="763"/>
    </row>
    <row r="30" spans="1:20" ht="15" customHeight="1">
      <c r="A30" s="180"/>
      <c r="B30" s="748" t="s">
        <v>35</v>
      </c>
      <c r="C30" s="748"/>
      <c r="D30" s="748"/>
      <c r="E30" s="748"/>
      <c r="F30" s="748"/>
      <c r="G30" s="748"/>
      <c r="H30" s="183"/>
      <c r="I30" s="183"/>
      <c r="J30" s="183"/>
      <c r="K30" s="183"/>
      <c r="L30" s="751" t="s">
        <v>247</v>
      </c>
      <c r="M30" s="751"/>
      <c r="N30" s="751"/>
      <c r="O30" s="751"/>
      <c r="P30" s="751"/>
      <c r="Q30" s="751"/>
      <c r="R30" s="751"/>
      <c r="S30" s="751"/>
      <c r="T30" s="751"/>
    </row>
    <row r="31" spans="1:20" s="320" customFormat="1" ht="18.75">
      <c r="A31" s="318"/>
      <c r="B31" s="745"/>
      <c r="C31" s="745"/>
      <c r="D31" s="745"/>
      <c r="E31" s="745"/>
      <c r="F31" s="745"/>
      <c r="G31" s="319"/>
      <c r="H31" s="319"/>
      <c r="I31" s="319"/>
      <c r="J31" s="319"/>
      <c r="K31" s="319"/>
      <c r="L31" s="746"/>
      <c r="M31" s="746"/>
      <c r="N31" s="746"/>
      <c r="O31" s="746"/>
      <c r="P31" s="746"/>
      <c r="Q31" s="746"/>
      <c r="R31" s="746"/>
      <c r="S31" s="746"/>
      <c r="T31" s="746"/>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59" t="s">
        <v>292</v>
      </c>
      <c r="C33" s="859"/>
      <c r="D33" s="859"/>
      <c r="E33" s="859"/>
      <c r="F33" s="859"/>
      <c r="G33" s="321"/>
      <c r="H33" s="321"/>
      <c r="I33" s="321"/>
      <c r="J33" s="321"/>
      <c r="K33" s="321"/>
      <c r="L33" s="321"/>
      <c r="M33" s="321"/>
      <c r="N33" s="321"/>
      <c r="O33" s="859" t="s">
        <v>292</v>
      </c>
      <c r="P33" s="859"/>
      <c r="Q33" s="859"/>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43" t="s">
        <v>248</v>
      </c>
      <c r="C39" s="643"/>
      <c r="D39" s="643"/>
      <c r="E39" s="643"/>
      <c r="F39" s="643"/>
      <c r="G39" s="643"/>
      <c r="H39" s="182"/>
      <c r="I39" s="182"/>
      <c r="J39" s="182"/>
      <c r="K39" s="182"/>
      <c r="L39" s="644" t="s">
        <v>249</v>
      </c>
      <c r="M39" s="644"/>
      <c r="N39" s="644"/>
      <c r="O39" s="644"/>
      <c r="P39" s="644"/>
      <c r="Q39" s="644"/>
      <c r="R39" s="644"/>
      <c r="S39" s="644"/>
      <c r="T39" s="644"/>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0:T30"/>
    <mergeCell ref="M7:T7"/>
    <mergeCell ref="A13:B13"/>
    <mergeCell ref="F5:O5"/>
    <mergeCell ref="E6:T6"/>
    <mergeCell ref="G8:L8"/>
    <mergeCell ref="S9:T9"/>
    <mergeCell ref="L29:T29"/>
    <mergeCell ref="A1:D1"/>
    <mergeCell ref="E7:L7"/>
    <mergeCell ref="F1:O4"/>
    <mergeCell ref="O9:P9"/>
    <mergeCell ref="G9:H9"/>
    <mergeCell ref="Q9:R9"/>
    <mergeCell ref="A3:D3"/>
    <mergeCell ref="M9:M10"/>
    <mergeCell ref="K9:L9"/>
    <mergeCell ref="A4:D4"/>
    <mergeCell ref="B39:G39"/>
    <mergeCell ref="A14:B14"/>
    <mergeCell ref="C6:D6"/>
    <mergeCell ref="M8:N8"/>
    <mergeCell ref="L39:T39"/>
    <mergeCell ref="B30:G30"/>
    <mergeCell ref="A6:B10"/>
    <mergeCell ref="B33:F33"/>
    <mergeCell ref="L31:T31"/>
    <mergeCell ref="O33:Q33"/>
    <mergeCell ref="B31:F31"/>
    <mergeCell ref="I9:J9"/>
    <mergeCell ref="A11:B11"/>
    <mergeCell ref="D7:D10"/>
    <mergeCell ref="F9:F10"/>
    <mergeCell ref="E8:F8"/>
    <mergeCell ref="E9:E10"/>
    <mergeCell ref="A2:D2"/>
    <mergeCell ref="B29:G29"/>
    <mergeCell ref="N9:N10"/>
    <mergeCell ref="O8:T8"/>
    <mergeCell ref="C7:C10"/>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HAI</cp:lastModifiedBy>
  <cp:lastPrinted>2019-11-04T00:53:39Z</cp:lastPrinted>
  <dcterms:created xsi:type="dcterms:W3CDTF">2004-03-07T02:36:29Z</dcterms:created>
  <dcterms:modified xsi:type="dcterms:W3CDTF">2019-11-04T00:54:10Z</dcterms:modified>
  <cp:category/>
  <cp:version/>
  <cp:contentType/>
  <cp:contentStatus/>
</cp:coreProperties>
</file>